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DieseArbeitsmappe"/>
  <mc:AlternateContent xmlns:mc="http://schemas.openxmlformats.org/markup-compatibility/2006">
    <mc:Choice Requires="x15">
      <x15ac:absPath xmlns:x15ac="http://schemas.microsoft.com/office/spreadsheetml/2010/11/ac" url="C:\Users\sb\Desktop\"/>
    </mc:Choice>
  </mc:AlternateContent>
  <xr:revisionPtr revIDLastSave="0" documentId="13_ncr:1_{3B83ED02-7D1E-4A69-ADC8-3842CFCC82ED}" xr6:coauthVersionLast="47" xr6:coauthVersionMax="47" xr10:uidLastSave="{00000000-0000-0000-0000-000000000000}"/>
  <bookViews>
    <workbookView xWindow="-120" yWindow="-120" windowWidth="38640" windowHeight="21390" tabRatio="774" activeTab="4" xr2:uid="{00000000-000D-0000-FFFF-FFFF00000000}"/>
  </bookViews>
  <sheets>
    <sheet name="Talzone" sheetId="1" r:id="rId1"/>
    <sheet name="Bergzone" sheetId="21" r:id="rId2"/>
    <sheet name="Hof+" sheetId="16" r:id="rId3"/>
    <sheet name="Gemüse" sheetId="17" r:id="rId4"/>
    <sheet name="Reben" sheetId="13" r:id="rId5"/>
    <sheet name="data" sheetId="28" state="hidden" r:id="rId6"/>
  </sheets>
  <definedNames>
    <definedName name="Ackerfläche" localSheetId="1">Bergzone!$C$17</definedName>
    <definedName name="Ackerfläche" localSheetId="0">Talzone!$C$17</definedName>
    <definedName name="avertissement">data!$N$6</definedName>
    <definedName name="DGL" localSheetId="1">Bergzone!$B$14</definedName>
    <definedName name="DGL" localSheetId="0">Talzone!$B$14</definedName>
    <definedName name="DGL_Streue" localSheetId="1">Bergzone!$D$19</definedName>
    <definedName name="DGL_Streue" localSheetId="0">Talzone!$Z$13</definedName>
    <definedName name="DGVE" localSheetId="1">Bergzone!$B$31</definedName>
    <definedName name="_xlnm.Print_Area" localSheetId="1">Bergzone!$A$2:$U$234</definedName>
    <definedName name="_xlnm.Print_Area" localSheetId="4">Reben!$A$1:$G$30</definedName>
    <definedName name="_xlnm.Print_Area" localSheetId="0">Talzone!$A$2:$U$234</definedName>
    <definedName name="Extensivweide" localSheetId="1">Bergzone!$G$60</definedName>
    <definedName name="Gemüse_Freiland" localSheetId="3">Gemüse!$B$3</definedName>
    <definedName name="Gemüse_geschützt" localSheetId="3">Gemüse!$B$5</definedName>
    <definedName name="intensiv_Grünland_u_Kunstwiese" localSheetId="1">Bergzone!$B$14-Bergzone!$G$94+Bergzone!$B$16</definedName>
    <definedName name="intensiv_Grünland_u_Kunstwiese">Talzone!$B$14-Talzone!$G$94+Talzone!$B$16</definedName>
    <definedName name="Kunstwiesen_Tal">Talzone!$B$16</definedName>
    <definedName name="LN" localSheetId="1">Bergzone!$B$13</definedName>
    <definedName name="LN" localSheetId="5">data!$M$9</definedName>
    <definedName name="LN" localSheetId="2">'Hof+'!$B$13</definedName>
    <definedName name="LN" localSheetId="0">Talzone!$B$13</definedName>
    <definedName name="LN">#REF!</definedName>
    <definedName name="LNB">Bergzone!$B$13</definedName>
    <definedName name="Nutzungsparzellen" localSheetId="1">Bergzone!$B$40</definedName>
    <definedName name="Nutzungsparzellen">Talzone!$B$40</definedName>
    <definedName name="öAF_mit_Bäumen">Bergzone!$G$79</definedName>
    <definedName name="öAF_ohne_Bäume" localSheetId="1">Bergzone!$G$76</definedName>
    <definedName name="öAF_ohne_Bäume">Talzone!$G$76</definedName>
    <definedName name="offene_Ackerfläche" localSheetId="1">Bergzone!$B$15</definedName>
    <definedName name="offene_Ackerfläche">Talzone!$B$15</definedName>
    <definedName name="Pkt_Hofplus">'Hof+'!$E$59</definedName>
    <definedName name="Reben">Reben!$B$3</definedName>
    <definedName name="SAU" localSheetId="5">data!$O$10</definedName>
    <definedName name="SAU">#REF!</definedName>
    <definedName name="Spezialkulturen" localSheetId="1">Bergzone!$B$22</definedName>
    <definedName name="Spezialkulturen" localSheetId="5">data!$M$12</definedName>
    <definedName name="Spezialkulturen" localSheetId="0">Talzone!$B$22</definedName>
    <definedName name="Spezialkulturen">#REF!</definedName>
    <definedName name="Streuefläche" localSheetId="1">Bergzone!$G$69</definedName>
    <definedName name="Streuefläche">Talzone!$G$69</definedName>
    <definedName name="übrige_Fläche">Talzone!$B$18</definedName>
    <definedName name="Warnung">data!$L$6</definedName>
    <definedName name="Z_2515DDB7_9BA3_48FA_88DC_CCB335C94A34_.wvu.Cols" localSheetId="1" hidden="1">Bergzone!#REF!</definedName>
    <definedName name="Z_2515DDB7_9BA3_48FA_88DC_CCB335C94A34_.wvu.Cols" localSheetId="0" hidden="1">Talzone!#REF!</definedName>
    <definedName name="Z_2515DDB7_9BA3_48FA_88DC_CCB335C94A34_.wvu.PrintArea" localSheetId="1" hidden="1">Bergzone!$A$2:$U$226</definedName>
    <definedName name="Z_2515DDB7_9BA3_48FA_88DC_CCB335C94A34_.wvu.PrintArea" localSheetId="0" hidden="1">Talzone!$A$2:$U$226</definedName>
    <definedName name="Z_2515DDB7_9BA3_48FA_88DC_CCB335C94A34_.wvu.Rows" localSheetId="1" hidden="1">Bergzone!$182:$183,Bergzone!#REF!</definedName>
    <definedName name="Z_2515DDB7_9BA3_48FA_88DC_CCB335C94A34_.wvu.Rows" localSheetId="0" hidden="1">Talzone!$34:$34,Talzone!$182:$183,Talzone!#REF!</definedName>
  </definedNames>
  <calcPr calcId="191029"/>
  <customWorkbookViews>
    <customWorkbookView name="Simon Birrer - Persönliche Ansicht" guid="{2515DDB7-9BA3-48FA-88DC-CCB335C94A34}" mergeInterval="0" personalView="1" xWindow="-2" yWindow="32" windowWidth="1315" windowHeight="810" tabRatio="77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5" i="21" l="1"/>
  <c r="I97" i="21"/>
  <c r="I97" i="1"/>
  <c r="I79" i="1"/>
  <c r="I76" i="1"/>
  <c r="G76" i="1"/>
  <c r="G74" i="1"/>
  <c r="H4" i="28"/>
  <c r="H10" i="28"/>
  <c r="G10" i="28"/>
  <c r="C9" i="28"/>
  <c r="B9" i="28"/>
  <c r="L9" i="28" s="1"/>
  <c r="L6" i="28" s="1"/>
  <c r="L12" i="28"/>
  <c r="K4" i="28"/>
  <c r="I4" i="28"/>
  <c r="F4" i="28"/>
  <c r="E4" i="28"/>
  <c r="M58" i="1"/>
  <c r="M58" i="21"/>
  <c r="R37" i="1"/>
  <c r="Q37" i="1"/>
  <c r="P37" i="1"/>
  <c r="O37" i="1"/>
  <c r="D37" i="1"/>
  <c r="M37" i="1" s="1"/>
  <c r="Z13" i="1"/>
  <c r="C166" i="1" s="1"/>
  <c r="I50" i="17"/>
  <c r="F50" i="17"/>
  <c r="J4" i="28"/>
  <c r="E25" i="13"/>
  <c r="E22" i="13"/>
  <c r="E19" i="13"/>
  <c r="E15" i="13"/>
  <c r="E11" i="13"/>
  <c r="E6" i="13"/>
  <c r="M9" i="28" l="1"/>
  <c r="D79" i="17" s="1"/>
  <c r="K74" i="17" l="1"/>
  <c r="J74" i="17"/>
  <c r="I74" i="17"/>
  <c r="H74" i="17"/>
  <c r="K70" i="17"/>
  <c r="J70" i="17"/>
  <c r="I70" i="17"/>
  <c r="H70" i="17"/>
  <c r="K66" i="17"/>
  <c r="J66" i="17"/>
  <c r="I66" i="17"/>
  <c r="H66" i="17"/>
  <c r="K62" i="17"/>
  <c r="J62" i="17"/>
  <c r="I62" i="17"/>
  <c r="H62" i="17"/>
  <c r="K57" i="17"/>
  <c r="J57" i="17"/>
  <c r="I57" i="17"/>
  <c r="H57" i="17"/>
  <c r="K54" i="17"/>
  <c r="J54" i="17"/>
  <c r="I54" i="17"/>
  <c r="H54" i="17"/>
  <c r="K42" i="17"/>
  <c r="J42" i="17"/>
  <c r="I42" i="17"/>
  <c r="H42" i="17"/>
  <c r="K46" i="17"/>
  <c r="J46" i="17"/>
  <c r="I46" i="17"/>
  <c r="K20" i="17" l="1"/>
  <c r="J20" i="17"/>
  <c r="I20" i="17"/>
  <c r="H20" i="17"/>
  <c r="K12" i="17"/>
  <c r="J12" i="17"/>
  <c r="I12" i="17"/>
  <c r="H12" i="17"/>
  <c r="K16" i="17"/>
  <c r="J16" i="17"/>
  <c r="I16" i="17"/>
  <c r="H16" i="17"/>
  <c r="K23" i="17"/>
  <c r="J23" i="17"/>
  <c r="I23" i="17"/>
  <c r="H23" i="17"/>
  <c r="K32" i="17"/>
  <c r="J32" i="17"/>
  <c r="I32" i="17"/>
  <c r="H32" i="17"/>
  <c r="T106" i="21"/>
  <c r="S106" i="21"/>
  <c r="R106" i="21"/>
  <c r="Q106" i="21"/>
  <c r="P106" i="21"/>
  <c r="O106" i="21"/>
  <c r="T98" i="21"/>
  <c r="O212" i="21"/>
  <c r="O210" i="21"/>
  <c r="O208" i="21"/>
  <c r="Q197" i="21"/>
  <c r="P197" i="21"/>
  <c r="O197" i="21"/>
  <c r="Q194" i="21"/>
  <c r="P194" i="21"/>
  <c r="O194" i="21"/>
  <c r="Q181" i="21"/>
  <c r="P181" i="21"/>
  <c r="O181" i="21"/>
  <c r="Q179" i="21"/>
  <c r="P179" i="21"/>
  <c r="O179" i="21"/>
  <c r="Q177" i="21"/>
  <c r="P177" i="21"/>
  <c r="O177" i="21"/>
  <c r="Q172" i="21"/>
  <c r="P172" i="21"/>
  <c r="O172" i="21"/>
  <c r="Q170" i="21"/>
  <c r="P170" i="21"/>
  <c r="O170" i="21"/>
  <c r="Q168" i="21"/>
  <c r="P168" i="21"/>
  <c r="O168" i="21"/>
  <c r="Q166" i="21"/>
  <c r="P166" i="21"/>
  <c r="O166" i="21"/>
  <c r="Q155" i="21"/>
  <c r="P155" i="21"/>
  <c r="O155" i="21"/>
  <c r="Q153" i="21"/>
  <c r="P153" i="21"/>
  <c r="O153" i="21"/>
  <c r="Q151" i="21"/>
  <c r="P151" i="21"/>
  <c r="O151" i="21"/>
  <c r="Q149" i="21"/>
  <c r="P149" i="21"/>
  <c r="O149" i="21"/>
  <c r="Q147" i="21"/>
  <c r="P147" i="21"/>
  <c r="O147" i="21"/>
  <c r="Q145" i="21"/>
  <c r="P145" i="21"/>
  <c r="O145" i="21"/>
  <c r="Q143" i="21"/>
  <c r="P143" i="21"/>
  <c r="O143" i="21"/>
  <c r="Q141" i="21"/>
  <c r="P141" i="21"/>
  <c r="O141" i="21"/>
  <c r="Q139" i="21"/>
  <c r="P139" i="21"/>
  <c r="O139" i="21"/>
  <c r="Q137" i="21"/>
  <c r="P137" i="21"/>
  <c r="O137" i="21"/>
  <c r="Q135" i="21"/>
  <c r="P135" i="21"/>
  <c r="O135" i="21"/>
  <c r="Q120" i="21"/>
  <c r="P120" i="21"/>
  <c r="O120" i="21"/>
  <c r="P116" i="21"/>
  <c r="O116" i="21"/>
  <c r="S86" i="21"/>
  <c r="R86" i="21"/>
  <c r="Q86" i="21"/>
  <c r="P86" i="21"/>
  <c r="O86" i="21"/>
  <c r="S85" i="21"/>
  <c r="R85" i="21"/>
  <c r="Q85" i="21"/>
  <c r="P85" i="21"/>
  <c r="O85" i="21"/>
  <c r="Q43" i="21"/>
  <c r="P43" i="21"/>
  <c r="O43" i="21"/>
  <c r="Q42" i="21"/>
  <c r="P42" i="21"/>
  <c r="O42" i="21"/>
  <c r="O212" i="1"/>
  <c r="O210" i="1"/>
  <c r="O208" i="1"/>
  <c r="O197" i="1"/>
  <c r="Q197" i="1"/>
  <c r="P197" i="1"/>
  <c r="Q194" i="1"/>
  <c r="P194" i="1"/>
  <c r="O194" i="1"/>
  <c r="Q181" i="1"/>
  <c r="P181" i="1"/>
  <c r="O181" i="1"/>
  <c r="Q179" i="1"/>
  <c r="P179" i="1"/>
  <c r="O179" i="1"/>
  <c r="Q177" i="1"/>
  <c r="P177" i="1"/>
  <c r="O177" i="1"/>
  <c r="Q172" i="1"/>
  <c r="P172" i="1"/>
  <c r="O172" i="1"/>
  <c r="Q170" i="1"/>
  <c r="P170" i="1"/>
  <c r="O170" i="1"/>
  <c r="Q168" i="1"/>
  <c r="P168" i="1"/>
  <c r="O168" i="1"/>
  <c r="Q166" i="1"/>
  <c r="P166" i="1"/>
  <c r="O166" i="1"/>
  <c r="Q153" i="1"/>
  <c r="P153" i="1"/>
  <c r="O153" i="1"/>
  <c r="Q151" i="1"/>
  <c r="P151" i="1"/>
  <c r="O151" i="1"/>
  <c r="Q149" i="1"/>
  <c r="P149" i="1"/>
  <c r="O149" i="1"/>
  <c r="Q147" i="1"/>
  <c r="P147" i="1"/>
  <c r="O147" i="1"/>
  <c r="Q145" i="1"/>
  <c r="P145" i="1"/>
  <c r="O145" i="1"/>
  <c r="Q143" i="1"/>
  <c r="P143" i="1"/>
  <c r="O143" i="1"/>
  <c r="Q141" i="1"/>
  <c r="P141" i="1"/>
  <c r="O141" i="1"/>
  <c r="Q139" i="1"/>
  <c r="P139" i="1"/>
  <c r="O139" i="1"/>
  <c r="Q137" i="1"/>
  <c r="P137" i="1"/>
  <c r="O137" i="1"/>
  <c r="Q135" i="1"/>
  <c r="P135" i="1"/>
  <c r="O135" i="1"/>
  <c r="Q125" i="1"/>
  <c r="P125" i="1"/>
  <c r="O125" i="1"/>
  <c r="Q121" i="1"/>
  <c r="P121" i="1"/>
  <c r="O121" i="1"/>
  <c r="P116" i="1"/>
  <c r="O116" i="1"/>
  <c r="S111" i="1"/>
  <c r="R111" i="1"/>
  <c r="Q111" i="1"/>
  <c r="P111" i="1"/>
  <c r="S107" i="1"/>
  <c r="R107" i="1"/>
  <c r="Q107" i="1"/>
  <c r="P107" i="1"/>
  <c r="S84" i="1"/>
  <c r="R84" i="1"/>
  <c r="Q84" i="1"/>
  <c r="P84" i="1"/>
  <c r="O84" i="1"/>
  <c r="P50" i="1"/>
  <c r="O50" i="1"/>
  <c r="O41" i="1"/>
  <c r="P41" i="1"/>
  <c r="G25" i="13"/>
  <c r="G24" i="13"/>
  <c r="G22" i="13"/>
  <c r="G21" i="13"/>
  <c r="G19" i="13"/>
  <c r="G18" i="13"/>
  <c r="G15" i="13"/>
  <c r="G14" i="13"/>
  <c r="G11" i="13"/>
  <c r="G7" i="13"/>
  <c r="G6" i="13"/>
  <c r="E200" i="21" l="1"/>
  <c r="E201" i="21" s="1"/>
  <c r="E202" i="21" s="1"/>
  <c r="I199" i="21" s="1"/>
  <c r="I200" i="21" s="1"/>
  <c r="I201" i="21" s="1"/>
  <c r="I202" i="21" s="1"/>
  <c r="I69" i="21"/>
  <c r="R151" i="21"/>
  <c r="C151" i="21"/>
  <c r="M151" i="21" s="1"/>
  <c r="B18" i="21"/>
  <c r="T98" i="1"/>
  <c r="G76" i="21"/>
  <c r="G77" i="21" s="1"/>
  <c r="G77" i="1"/>
  <c r="G83" i="21"/>
  <c r="B82" i="21"/>
  <c r="B81" i="21"/>
  <c r="R37" i="21"/>
  <c r="Q37" i="21"/>
  <c r="P37" i="21"/>
  <c r="O37" i="21"/>
  <c r="D37" i="21"/>
  <c r="M37" i="21" s="1"/>
  <c r="H13" i="28"/>
  <c r="G13" i="28"/>
  <c r="I1" i="17"/>
  <c r="N10" i="28"/>
  <c r="G1" i="13"/>
  <c r="L1" i="17"/>
  <c r="F1" i="16"/>
  <c r="D4" i="28" s="1"/>
  <c r="D75" i="17"/>
  <c r="D71" i="17"/>
  <c r="D67" i="17"/>
  <c r="D63" i="17"/>
  <c r="D59" i="17"/>
  <c r="D34" i="17"/>
  <c r="D26" i="17"/>
  <c r="D18" i="17"/>
  <c r="D14" i="17"/>
  <c r="D55" i="17"/>
  <c r="D48" i="17"/>
  <c r="D44" i="17"/>
  <c r="C12" i="28"/>
  <c r="B23" i="21"/>
  <c r="B21" i="21"/>
  <c r="B12" i="28"/>
  <c r="N13" i="28" l="1"/>
  <c r="O13" i="28"/>
  <c r="O10" i="28"/>
  <c r="M12" i="28"/>
  <c r="B56" i="16"/>
  <c r="E56" i="16" s="1"/>
  <c r="D6" i="13"/>
  <c r="D25" i="13"/>
  <c r="D22" i="13"/>
  <c r="D19" i="13"/>
  <c r="D15" i="13"/>
  <c r="D11" i="13"/>
  <c r="E200" i="1"/>
  <c r="E201" i="1" s="1"/>
  <c r="E202" i="1" s="1"/>
  <c r="I199" i="1" s="1"/>
  <c r="I200" i="1" s="1"/>
  <c r="I201" i="1" s="1"/>
  <c r="I202" i="1" s="1"/>
  <c r="N6" i="28" l="1"/>
  <c r="I14" i="21"/>
  <c r="I15" i="21"/>
  <c r="I16" i="21"/>
  <c r="K16" i="21"/>
  <c r="C17" i="21"/>
  <c r="I17" i="21" s="1"/>
  <c r="D19" i="21"/>
  <c r="B26" i="21"/>
  <c r="G100" i="21" s="1"/>
  <c r="I27" i="21"/>
  <c r="I28" i="21"/>
  <c r="E31" i="21"/>
  <c r="M42" i="21"/>
  <c r="R42" i="21"/>
  <c r="R43" i="21"/>
  <c r="B50" i="21"/>
  <c r="M50" i="21" s="1"/>
  <c r="P50" i="21"/>
  <c r="Q50" i="21"/>
  <c r="R50" i="21"/>
  <c r="I61" i="21"/>
  <c r="K61" i="21"/>
  <c r="I62" i="21"/>
  <c r="K62" i="21"/>
  <c r="I63" i="21"/>
  <c r="K63" i="21"/>
  <c r="I64" i="21"/>
  <c r="K66" i="21"/>
  <c r="G74" i="21"/>
  <c r="G79" i="21" s="1"/>
  <c r="I74" i="21"/>
  <c r="T85" i="21"/>
  <c r="T86" i="21"/>
  <c r="G88" i="21"/>
  <c r="I91" i="21"/>
  <c r="G94" i="21"/>
  <c r="G101" i="21"/>
  <c r="W101" i="21" s="1"/>
  <c r="G102" i="21"/>
  <c r="C106" i="21"/>
  <c r="M106" i="21" s="1"/>
  <c r="Q116" i="21"/>
  <c r="C120" i="21"/>
  <c r="M120" i="21" s="1"/>
  <c r="R120" i="21"/>
  <c r="C135" i="21"/>
  <c r="M135" i="21" s="1"/>
  <c r="R135" i="21"/>
  <c r="C137" i="21"/>
  <c r="M137" i="21" s="1"/>
  <c r="R137" i="21"/>
  <c r="C139" i="21"/>
  <c r="M139" i="21" s="1"/>
  <c r="R139" i="21"/>
  <c r="C141" i="21"/>
  <c r="M141" i="21" s="1"/>
  <c r="R141" i="21"/>
  <c r="C143" i="21"/>
  <c r="M143" i="21" s="1"/>
  <c r="R143" i="21"/>
  <c r="C145" i="21"/>
  <c r="M145" i="21" s="1"/>
  <c r="R145" i="21"/>
  <c r="C147" i="21"/>
  <c r="M147" i="21" s="1"/>
  <c r="R147" i="21"/>
  <c r="C149" i="21"/>
  <c r="M149" i="21" s="1"/>
  <c r="R149" i="21"/>
  <c r="C153" i="21"/>
  <c r="M153" i="21" s="1"/>
  <c r="R153" i="21"/>
  <c r="C155" i="21"/>
  <c r="M155" i="21" s="1"/>
  <c r="R155" i="21"/>
  <c r="G158" i="21"/>
  <c r="R166" i="21"/>
  <c r="R168" i="21"/>
  <c r="R170" i="21"/>
  <c r="R172" i="21"/>
  <c r="R177" i="21"/>
  <c r="R179" i="21"/>
  <c r="R181" i="21"/>
  <c r="C194" i="21"/>
  <c r="M194" i="21" s="1"/>
  <c r="R194" i="21"/>
  <c r="K197" i="21"/>
  <c r="M197" i="21" s="1"/>
  <c r="R197" i="21"/>
  <c r="C199" i="21"/>
  <c r="M205" i="21"/>
  <c r="M208" i="21"/>
  <c r="P208" i="21"/>
  <c r="M210" i="21"/>
  <c r="P210" i="21"/>
  <c r="M212" i="21"/>
  <c r="P212" i="21"/>
  <c r="I76" i="21" l="1"/>
  <c r="I79" i="21"/>
  <c r="I98" i="21" s="1"/>
  <c r="M98" i="21" s="1"/>
  <c r="G95" i="21"/>
  <c r="W95" i="21" s="1"/>
  <c r="K76" i="21"/>
  <c r="B115" i="21" s="1"/>
  <c r="C179" i="21"/>
  <c r="M179" i="21" s="1"/>
  <c r="G84" i="21"/>
  <c r="I26" i="21"/>
  <c r="K28" i="21" s="1"/>
  <c r="C170" i="21"/>
  <c r="M170" i="21" s="1"/>
  <c r="B85" i="21"/>
  <c r="C166" i="21"/>
  <c r="M166" i="21" s="1"/>
  <c r="C177" i="21"/>
  <c r="M177" i="21" s="1"/>
  <c r="M85" i="21"/>
  <c r="I92" i="21"/>
  <c r="W89" i="21"/>
  <c r="G89" i="21"/>
  <c r="C181" i="21"/>
  <c r="M181" i="21" s="1"/>
  <c r="B42" i="21"/>
  <c r="M86" i="21"/>
  <c r="B86" i="21"/>
  <c r="B43" i="21"/>
  <c r="M157" i="21"/>
  <c r="N160" i="21" s="1"/>
  <c r="G186" i="21"/>
  <c r="D41" i="21"/>
  <c r="M43" i="21" s="1"/>
  <c r="D183" i="21"/>
  <c r="M183" i="21" s="1"/>
  <c r="C172" i="21"/>
  <c r="M172" i="21" s="1"/>
  <c r="C168" i="21"/>
  <c r="M168" i="21" s="1"/>
  <c r="W100" i="21"/>
  <c r="I94" i="21"/>
  <c r="I95" i="21" s="1"/>
  <c r="W79" i="21"/>
  <c r="G4" i="28" l="1"/>
  <c r="N4" i="28" s="1"/>
  <c r="C116" i="21"/>
  <c r="M116" i="21" s="1"/>
  <c r="N128" i="21" s="1"/>
  <c r="W77" i="21"/>
  <c r="B29" i="21"/>
  <c r="K27" i="21"/>
  <c r="B103" i="21"/>
  <c r="C103" i="21" s="1"/>
  <c r="M185" i="21"/>
  <c r="N188" i="21" s="1"/>
  <c r="F57" i="17" l="1"/>
  <c r="D30" i="17"/>
  <c r="F28" i="17"/>
  <c r="I91" i="1" l="1"/>
  <c r="B18" i="1"/>
  <c r="B21" i="1"/>
  <c r="B23" i="1" l="1"/>
  <c r="B82" i="1"/>
  <c r="B81" i="1"/>
  <c r="F74" i="17"/>
  <c r="F70" i="17"/>
  <c r="F66" i="17"/>
  <c r="F62" i="17"/>
  <c r="F54" i="17"/>
  <c r="F32" i="17"/>
  <c r="F23" i="17"/>
  <c r="F46" i="17"/>
  <c r="F42" i="17"/>
  <c r="F36" i="17"/>
  <c r="F20" i="17" l="1"/>
  <c r="F16" i="17"/>
  <c r="F9" i="17"/>
  <c r="F12" i="17"/>
  <c r="K9" i="17"/>
  <c r="J9" i="17"/>
  <c r="I9" i="17"/>
  <c r="F78" i="17" l="1"/>
  <c r="C57" i="16"/>
  <c r="E59" i="16" s="1"/>
  <c r="E1" i="16" s="1"/>
  <c r="M219" i="1" l="1"/>
  <c r="M219" i="21"/>
  <c r="G59" i="16"/>
  <c r="E27" i="13" l="1"/>
  <c r="I69" i="1"/>
  <c r="R151" i="1"/>
  <c r="C151" i="1"/>
  <c r="M151" i="1" s="1"/>
  <c r="C17" i="1"/>
  <c r="G94" i="1"/>
  <c r="K16" i="1"/>
  <c r="B26" i="1"/>
  <c r="K66" i="1"/>
  <c r="K63" i="1"/>
  <c r="G186" i="1"/>
  <c r="K61" i="1"/>
  <c r="R137" i="1"/>
  <c r="C137" i="1"/>
  <c r="M137" i="1" s="1"/>
  <c r="J26" i="1" l="1"/>
  <c r="G83" i="1"/>
  <c r="C110" i="1"/>
  <c r="C124" i="1"/>
  <c r="C168" i="1"/>
  <c r="C170" i="1"/>
  <c r="C172" i="1"/>
  <c r="J18" i="1"/>
  <c r="P212" i="1"/>
  <c r="M212" i="1"/>
  <c r="P210" i="1"/>
  <c r="M210" i="1"/>
  <c r="P208" i="1"/>
  <c r="M208" i="1"/>
  <c r="M205" i="1"/>
  <c r="C199" i="1"/>
  <c r="R197" i="1"/>
  <c r="K197" i="1"/>
  <c r="M197" i="1" s="1"/>
  <c r="R194" i="1"/>
  <c r="C194" i="1"/>
  <c r="M194" i="1" s="1"/>
  <c r="R181" i="1"/>
  <c r="Q116" i="1"/>
  <c r="C153" i="1" l="1"/>
  <c r="C149" i="1"/>
  <c r="M149" i="1" s="1"/>
  <c r="I64" i="1"/>
  <c r="I63" i="1"/>
  <c r="I62" i="1"/>
  <c r="B175" i="1"/>
  <c r="G95" i="1"/>
  <c r="K62" i="1"/>
  <c r="K76" i="1" s="1"/>
  <c r="I61" i="1"/>
  <c r="C181" i="1" l="1"/>
  <c r="M181" i="1" s="1"/>
  <c r="C179" i="1"/>
  <c r="D125" i="1"/>
  <c r="R170" i="1" l="1"/>
  <c r="I14" i="1" l="1"/>
  <c r="I15" i="1"/>
  <c r="I16" i="1"/>
  <c r="C106" i="1"/>
  <c r="I26" i="1"/>
  <c r="I27" i="1"/>
  <c r="I28" i="1"/>
  <c r="E31" i="1"/>
  <c r="Q41" i="1"/>
  <c r="B50" i="1"/>
  <c r="Q50" i="1"/>
  <c r="G79" i="1"/>
  <c r="I74" i="1"/>
  <c r="T84" i="1"/>
  <c r="C177" i="1"/>
  <c r="M177" i="1" s="1"/>
  <c r="T107" i="1"/>
  <c r="D111" i="1"/>
  <c r="T111" i="1"/>
  <c r="R121" i="1"/>
  <c r="R125" i="1"/>
  <c r="C135" i="1"/>
  <c r="M135" i="1" s="1"/>
  <c r="R135" i="1"/>
  <c r="C139" i="1"/>
  <c r="M139" i="1" s="1"/>
  <c r="R139" i="1"/>
  <c r="C141" i="1"/>
  <c r="M141" i="1" s="1"/>
  <c r="R141" i="1"/>
  <c r="C143" i="1"/>
  <c r="M143" i="1" s="1"/>
  <c r="R143" i="1"/>
  <c r="C145" i="1"/>
  <c r="M145" i="1" s="1"/>
  <c r="R145" i="1"/>
  <c r="C147" i="1"/>
  <c r="M147" i="1" s="1"/>
  <c r="R147" i="1"/>
  <c r="R149" i="1"/>
  <c r="M153" i="1"/>
  <c r="R153" i="1"/>
  <c r="G158" i="1"/>
  <c r="R166" i="1"/>
  <c r="R168" i="1"/>
  <c r="R172" i="1"/>
  <c r="R177" i="1"/>
  <c r="R179" i="1"/>
  <c r="M157" i="1" l="1"/>
  <c r="N160" i="1" s="1"/>
  <c r="M50" i="1"/>
  <c r="I92" i="1"/>
  <c r="N92" i="1" s="1"/>
  <c r="G88" i="1"/>
  <c r="C41" i="1"/>
  <c r="M41" i="1" s="1"/>
  <c r="I17" i="1"/>
  <c r="M168" i="1"/>
  <c r="M170" i="1"/>
  <c r="D121" i="1"/>
  <c r="C120" i="1"/>
  <c r="M121" i="1" s="1"/>
  <c r="M122" i="1" s="1"/>
  <c r="M107" i="1"/>
  <c r="M108" i="1" s="1"/>
  <c r="B115" i="1"/>
  <c r="C116" i="1" s="1"/>
  <c r="M166" i="1"/>
  <c r="M111" i="1"/>
  <c r="M112" i="1" s="1"/>
  <c r="W95" i="1"/>
  <c r="M172" i="1"/>
  <c r="M125" i="1"/>
  <c r="M126" i="1" s="1"/>
  <c r="D183" i="1"/>
  <c r="M183" i="1" s="1"/>
  <c r="M179" i="1"/>
  <c r="D107" i="1"/>
  <c r="B29" i="1"/>
  <c r="U1" i="1" l="1"/>
  <c r="B4" i="28" s="1"/>
  <c r="I98" i="1"/>
  <c r="M98" i="1" s="1"/>
  <c r="M116" i="1"/>
  <c r="G89" i="1"/>
  <c r="W89" i="1" s="1"/>
  <c r="W79" i="1"/>
  <c r="G84" i="1"/>
  <c r="M185" i="1"/>
  <c r="N188" i="1" s="1"/>
  <c r="M84" i="1" l="1"/>
  <c r="N128" i="1" s="1"/>
  <c r="W77" i="1"/>
  <c r="B100" i="1"/>
  <c r="I94" i="1" l="1"/>
  <c r="I95" i="1" s="1"/>
  <c r="B29" i="13" l="1"/>
  <c r="E30" i="13" s="1"/>
  <c r="E1" i="13" s="1"/>
  <c r="G81" i="17"/>
  <c r="M221" i="1" l="1"/>
  <c r="M221" i="21"/>
  <c r="U1" i="21" s="1"/>
  <c r="M223" i="1"/>
  <c r="M223" i="21"/>
  <c r="C4" i="28" l="1"/>
  <c r="L4" i="28" s="1"/>
  <c r="N225" i="1"/>
  <c r="N232" i="1" s="1"/>
  <c r="M1" i="1" s="1"/>
  <c r="C87" i="1" s="1"/>
  <c r="N225" i="21"/>
  <c r="N232" i="21" s="1"/>
  <c r="M1" i="21" l="1"/>
  <c r="C87" i="21" s="1"/>
  <c r="M9" i="1"/>
  <c r="M9"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Simon Birrer</author>
  </authors>
  <commentList>
    <comment ref="W1" authorId="0" shapeId="0" xr:uid="{00000000-0006-0000-0200-000001000000}">
      <text>
        <r>
          <rPr>
            <b/>
            <sz val="12"/>
            <color indexed="81"/>
            <rFont val="Tahoma"/>
            <family val="2"/>
          </rPr>
          <t>zur Zeit nicht aktiv: 
falls 1 
 missachtet</t>
        </r>
      </text>
    </comment>
    <comment ref="C14" authorId="0" shapeId="0" xr:uid="{C295D2B4-51DC-4E54-9FB7-9DB6B7C0259E}">
      <text>
        <r>
          <rPr>
            <sz val="9"/>
            <color indexed="81"/>
            <rFont val="Segoe UI"/>
            <family val="2"/>
          </rPr>
          <t xml:space="preserve">Umfasst alle intensiv genutzten Wiesen und Weiden sowie die BFF „extensive Wiesen“ „wenig intensiv genutzte Wiesen“, „extensiv genutzte Weiden“, „Waldweiden“, „Hecken-, Feld- und Ufergehölze“ und „Uferwiesen entlang von Fliessgewässern“. Kunstwiesen, die älter sind als sechs Jahre, zählen ebenfalls zum Dauergrünland.
</t>
        </r>
      </text>
    </comment>
    <comment ref="C15" authorId="0" shapeId="0" xr:uid="{BA4352BE-3307-45AA-87FB-58F43AA625D4}">
      <text>
        <r>
          <rPr>
            <sz val="9"/>
            <color indexed="81"/>
            <rFont val="Segoe UI"/>
            <family val="2"/>
          </rPr>
          <t xml:space="preserve">Die offene Ackerfläche umfasst alle Ackerkulturen. Die Buntbrachen (556), Rotationsbrachen (557), Saum auf Ackerflächen (559), Ackerschonstreifen (555) und Nützlingsstreifen (572) zählen auch zur offenen Ackerfläche.
</t>
        </r>
      </text>
    </comment>
    <comment ref="C16" authorId="0" shapeId="0" xr:uid="{53476823-8A6F-4F54-8C1E-75BBE57E380C}">
      <text>
        <r>
          <rPr>
            <sz val="9"/>
            <color indexed="81"/>
            <rFont val="Segoe UI"/>
            <family val="2"/>
          </rPr>
          <t>Als Kunstwiese (601) gilt die als Wiese angesäte Fläche, die innerhalb einer Fruchtfolge während mindestens einer Vegetationsperiode bewirtschaftet wird.</t>
        </r>
      </text>
    </comment>
    <comment ref="D17" authorId="0" shapeId="0" xr:uid="{57B64C0F-1ED4-4F67-A8B5-4D9720030D5B}">
      <text>
        <r>
          <rPr>
            <sz val="9"/>
            <color indexed="81"/>
            <rFont val="Segoe UI"/>
            <family val="2"/>
          </rPr>
          <t xml:space="preserve">Dieser Wert wird automatisch berechnet. 
Er umfasst die </t>
        </r>
        <r>
          <rPr>
            <b/>
            <sz val="9"/>
            <color indexed="81"/>
            <rFont val="Segoe UI"/>
            <family val="2"/>
          </rPr>
          <t>offene Ackerfläche</t>
        </r>
        <r>
          <rPr>
            <sz val="9"/>
            <color indexed="81"/>
            <rFont val="Segoe UI"/>
            <family val="2"/>
          </rPr>
          <t xml:space="preserve"> (Kulturen, Brachen, Säume) und die </t>
        </r>
        <r>
          <rPr>
            <b/>
            <sz val="9"/>
            <color indexed="81"/>
            <rFont val="Segoe UI"/>
            <family val="2"/>
          </rPr>
          <t>Kunstwiesen.</t>
        </r>
      </text>
    </comment>
    <comment ref="C22" authorId="0" shapeId="0" xr:uid="{5A53A868-9793-4EF1-9C51-B9BABC187030}">
      <text>
        <r>
          <rPr>
            <sz val="9"/>
            <color indexed="81"/>
            <rFont val="Segoe UI"/>
            <family val="2"/>
          </rPr>
          <t xml:space="preserve">Hier können alle Spezialkulturen gemäss BLW angegeben werden. Die Fläche aller Spezialkulturen ist im kantonalen Strukturdatenblatt ersichtlich. </t>
        </r>
      </text>
    </comment>
    <comment ref="C26" authorId="0" shapeId="0" xr:uid="{21376D00-B19F-4822-8549-F352282A60CC}">
      <text>
        <r>
          <rPr>
            <sz val="9"/>
            <color indexed="81"/>
            <rFont val="Segoe UI"/>
            <family val="2"/>
          </rPr>
          <t>Falls die LN des Betriebs auf verschiedene Zonen verteilt ist, sind die Teilflächen in den entspre-chenden Zonen einzutragen (Ziff. 1.2.1 für Bergzone I und II, Ziff. 1.2.2 für Bergzone III und IV). Die Summe von 1.2 bis 1.2.2 muss der LN (Ziff. «1.1 LN») entsprechen.</t>
        </r>
      </text>
    </comment>
    <comment ref="B36" authorId="0" shapeId="0" xr:uid="{693C0A7E-2C07-45D2-8013-93CABC82F8C9}">
      <text>
        <r>
          <rPr>
            <b/>
            <sz val="10"/>
            <color indexed="81"/>
            <rFont val="Tahoma"/>
            <family val="2"/>
          </rPr>
          <t>in Grundeinstellung auf 9999 stellen</t>
        </r>
      </text>
    </comment>
    <comment ref="C40" authorId="0" shapeId="0" xr:uid="{28210C27-E489-4F2D-8F22-F71FE7D04AB4}">
      <text>
        <r>
          <rPr>
            <sz val="9"/>
            <color indexed="81"/>
            <rFont val="Segoe UI"/>
            <family val="2"/>
          </rPr>
          <t xml:space="preserve">Eine Nutzungsparzelle ist eine Fläche, die mit derselben </t>
        </r>
        <r>
          <rPr>
            <b/>
            <sz val="9"/>
            <color indexed="81"/>
            <rFont val="Segoe UI"/>
            <family val="2"/>
          </rPr>
          <t>Kultur</t>
        </r>
        <r>
          <rPr>
            <sz val="9"/>
            <color indexed="81"/>
            <rFont val="Segoe UI"/>
            <family val="2"/>
          </rPr>
          <t xml:space="preserve"> (z.B. Weizen, Wiese intensiv, Gerste, Weide intensiv, Mais etc.) angebaut wird. </t>
        </r>
        <r>
          <rPr>
            <b/>
            <sz val="9"/>
            <color indexed="81"/>
            <rFont val="Segoe UI"/>
            <family val="2"/>
          </rPr>
          <t>BFF zählen nicht als Nutzungsparzellen</t>
        </r>
        <r>
          <rPr>
            <sz val="9"/>
            <color indexed="81"/>
            <rFont val="Segoe UI"/>
            <family val="2"/>
          </rPr>
          <t xml:space="preserve">. Wächst auf zwei aneinandergrenzenden Grundbuchparzellen die gleiche Kultur, wird sie als eine Nutzungsparzelle betrachtet. Umgekehrt gilt eine Grundbuchparzelle als zwei Nutzungsparzellen, wenn sie mit zwei verschiedenen Kulturen oder unterschiedlichen Grünlandnutzungen bebaut wird. Bei gleichen Kulturpflanzen, z.B. Weizen, wird zwischen Winter- und Sommeranbau unterschieden. Beim Grünland wird zwischen Mähwiese und Weide unterschieden. Bei einer Grünlandparzelle, die gemäht und beweidet wird, zählt nur die Hauptnutzung. Eine Nutzungsparzelle muss mindestens 10 Aren gross sein. Bäche, Wege, Gräben oder BFF können eine Parzelle trotz identischer Nutzung in mehrere Nutzungsparzellen unterteilen. Im Gemüsebau dürfen nur Freilandkultu-ren angerechnet werden, Folientunnel und Gewächshäuser werden nicht als Nutzungsparzelle gezählt.
Aus der Zahl der Nutzungsparzellen und der LN wird die durchschnittliche Grösse der Nutzungsparzellen automatisch berechnet. Und aufgrund dieses Wertes werden Punkte vergeben.
</t>
        </r>
      </text>
    </comment>
    <comment ref="B45" authorId="0" shapeId="0" xr:uid="{96DEA5EB-2ACA-4271-9995-FBD1D07208A1}">
      <text>
        <r>
          <rPr>
            <sz val="9"/>
            <color indexed="81"/>
            <rFont val="Segoe UI"/>
            <family val="2"/>
          </rPr>
          <t>Als Nutzungstypen zählen: Ackerkulturen, Mähwiesen, Weiden, Streuenutzung, Obstbau, (Niederstammkulturen, Hochstammkulturen), Gemüsebau, Rebbau sowie übrige Spezialkultu-ren (wie Beeren, Tabak, Schnittblumen). Angegeben werden nur diejenigen Nutzungstypen, die mindestens 8 % der LN (dieser Wert wird automatisch angegeben) ausmachen. Bei kombinier-ten Nutzungen wie Mähnutzung und Weide auf der gleichen Parzelle kann nur die Hauptnutzung als Nutzungstyp angerechnet werden. 
Für den Nutzungstyp «Obstbau» muss ein Betrieb je 10 ha LN mindestens 80 Hochstammbäume aufweisen oder die Fläche der Anlage muss mindestens 8 % der LN betragen.</t>
        </r>
      </text>
    </comment>
    <comment ref="B46" authorId="0" shapeId="0" xr:uid="{C87133E7-2F2F-4E1E-A68B-D850339CE824}">
      <text>
        <r>
          <rPr>
            <sz val="9"/>
            <color indexed="81"/>
            <rFont val="Segoe UI"/>
            <family val="2"/>
          </rPr>
          <t xml:space="preserve">Als Nutzungstypen zählen:
</t>
        </r>
        <r>
          <rPr>
            <b/>
            <sz val="9"/>
            <color indexed="81"/>
            <rFont val="Segoe UI"/>
            <family val="2"/>
          </rPr>
          <t>Ackerkulturen, Mähwiesen, Weiden, Streuenutzung, Obstbau</t>
        </r>
        <r>
          <rPr>
            <sz val="9"/>
            <color indexed="81"/>
            <rFont val="Segoe UI"/>
            <family val="2"/>
          </rPr>
          <t xml:space="preserve">, (Niederstammkulturen, Hochstammkulturen), </t>
        </r>
        <r>
          <rPr>
            <b/>
            <sz val="9"/>
            <color indexed="81"/>
            <rFont val="Segoe UI"/>
            <family val="2"/>
          </rPr>
          <t>Gemüsebau, Rebbau sowie übrige Spezialkulturen</t>
        </r>
        <r>
          <rPr>
            <sz val="9"/>
            <color indexed="81"/>
            <rFont val="Segoe UI"/>
            <family val="2"/>
          </rPr>
          <t xml:space="preserve"> (wie Beeren, Tabak, Schnittblumen). Angegeben werden nur diejenigen Nutzungstypen, die </t>
        </r>
        <r>
          <rPr>
            <b/>
            <sz val="9"/>
            <color indexed="81"/>
            <rFont val="Segoe UI"/>
            <family val="2"/>
          </rPr>
          <t xml:space="preserve">mindestens 8 % der LN </t>
        </r>
        <r>
          <rPr>
            <sz val="9"/>
            <color indexed="81"/>
            <rFont val="Segoe UI"/>
            <family val="2"/>
          </rPr>
          <t>(dieser Wert wird automatisch angegeben) ausmachen. Bei kombinierten Nutzungen wie Mähnutzung und Weide auf der gleichen Parzelle kann nur die Hauptnutzung als Nutzungstyp angerechnet werden.
Für den Nutzungstyp «Obstbau» muss ein Betrieb je 10 ha LN mindestens 80 Hochstammbäume aufweisen oder die Fläche der Anlage muss mindestens 8 % der LN betragen.</t>
        </r>
      </text>
    </comment>
    <comment ref="G55" authorId="0" shapeId="0" xr:uid="{F5DF4679-BFDA-433A-9589-781083B668B6}">
      <text>
        <r>
          <rPr>
            <sz val="9"/>
            <color indexed="81"/>
            <rFont val="Segoe UI"/>
            <family val="2"/>
          </rPr>
          <t>Angemeldete Biodiversitätsförderflächen (BFF) entsprechen denjenigen Flächen, welche Sie im Rahmen der Strukturdatenerhebung als solche gemeldet haben.</t>
        </r>
      </text>
    </comment>
    <comment ref="I55" authorId="0" shapeId="0" xr:uid="{08948A98-6A9B-4881-9F1D-2B5D2684846E}">
      <text>
        <r>
          <rPr>
            <sz val="9"/>
            <color indexed="81"/>
            <rFont val="Segoe UI"/>
            <family val="2"/>
          </rPr>
          <t xml:space="preserve">In dieser Spalte sind BFF einzutragen, welche die </t>
        </r>
        <r>
          <rPr>
            <b/>
            <sz val="9"/>
            <color indexed="81"/>
            <rFont val="Segoe UI"/>
            <family val="2"/>
          </rPr>
          <t>Qualitätsstufe II</t>
        </r>
        <r>
          <rPr>
            <sz val="9"/>
            <color indexed="81"/>
            <rFont val="Segoe UI"/>
            <family val="2"/>
          </rPr>
          <t xml:space="preserve"> erfüllen oder für die ein </t>
        </r>
        <r>
          <rPr>
            <b/>
            <sz val="9"/>
            <color indexed="81"/>
            <rFont val="Segoe UI"/>
            <family val="2"/>
          </rPr>
          <t>Naturschutzvertrag</t>
        </r>
        <r>
          <rPr>
            <sz val="9"/>
            <color indexed="81"/>
            <rFont val="Segoe UI"/>
            <family val="2"/>
          </rPr>
          <t xml:space="preserve"> mit dem Kanton oder der Gemeinde besteht.
Eine BFF kann entweder Projektqualität oder Qualitätsstufe I oder II erfüllen – nie aber beides.</t>
        </r>
      </text>
    </comment>
    <comment ref="K58" authorId="0" shapeId="0" xr:uid="{E87D6354-453B-4DC7-AE51-689879467828}">
      <text>
        <r>
          <rPr>
            <b/>
            <sz val="9"/>
            <color indexed="81"/>
            <rFont val="Segoe UI"/>
            <family val="2"/>
          </rPr>
          <t>Mind. 10 % Strukturen</t>
        </r>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t>
        </r>
      </text>
    </comment>
    <comment ref="K59" authorId="0" shapeId="0" xr:uid="{C92C5586-B1DA-4ADF-A2D0-3325082F3C41}">
      <text>
        <r>
          <rPr>
            <b/>
            <sz val="9"/>
            <color indexed="81"/>
            <rFont val="Segoe UI"/>
            <family val="2"/>
          </rPr>
          <t>Mind. 10 % Strukturen</t>
        </r>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t>
        </r>
      </text>
    </comment>
    <comment ref="K60" authorId="0" shapeId="0" xr:uid="{E4CD517B-AD1F-45F6-9B70-0291AF8758A6}">
      <text>
        <r>
          <rPr>
            <b/>
            <sz val="9"/>
            <color indexed="81"/>
            <rFont val="Segoe UI"/>
            <family val="2"/>
          </rPr>
          <t xml:space="preserve">Min. 5 % Strukturen
</t>
        </r>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t>
        </r>
      </text>
    </comment>
    <comment ref="I61" authorId="0" shapeId="0" xr:uid="{9949FEF5-5441-48D2-BA52-E2F19C21F056}">
      <text>
        <r>
          <rPr>
            <sz val="9"/>
            <color indexed="81"/>
            <rFont val="Segoe UI"/>
            <family val="2"/>
          </rPr>
          <t>Buntbrachen zählen automatisch zu den hochwertigen BFF (Ziff. 5.19) und Strukturvielfalt (Ziff. 8).</t>
        </r>
      </text>
    </comment>
    <comment ref="I62" authorId="0" shapeId="0" xr:uid="{E6B299EB-9EF5-42B0-89BC-FBF915FB3788}">
      <text>
        <r>
          <rPr>
            <sz val="9"/>
            <color indexed="81"/>
            <rFont val="Segoe UI"/>
            <family val="2"/>
          </rPr>
          <t>Rotationsbrachen zählen automatisch zu den hochwertigen BFF (Ziff. 5.19) und Strukturvielfalt (Ziff. 8).</t>
        </r>
      </text>
    </comment>
    <comment ref="I63" authorId="0" shapeId="0" xr:uid="{50212C10-C10E-4294-933B-A92925FD3615}">
      <text>
        <r>
          <rPr>
            <sz val="9"/>
            <color indexed="81"/>
            <rFont val="Segoe UI"/>
            <family val="2"/>
          </rPr>
          <t>Säume auf Ackerflächen zählen automatisch zu den hochwertigen BFF (Ziff. 5.19) und Strukturvielfalt (Ziff. 8).</t>
        </r>
      </text>
    </comment>
    <comment ref="I64" authorId="0" shapeId="0" xr:uid="{3DE1E137-3E7B-4261-B6DB-67507B488509}">
      <text>
        <r>
          <rPr>
            <sz val="9"/>
            <color indexed="81"/>
            <rFont val="Segoe UI"/>
            <family val="2"/>
          </rPr>
          <t xml:space="preserve">Ackerschonstreifenzählen automatisch zu den hochwertigen BFF (Ziff. 5.19)
</t>
        </r>
      </text>
    </comment>
    <comment ref="I66" authorId="0" shapeId="0" xr:uid="{8D5557C9-AB47-4267-96A1-2F0B663DCA38}">
      <text>
        <r>
          <rPr>
            <sz val="9"/>
            <color indexed="81"/>
            <rFont val="Segoe UI"/>
            <family val="2"/>
          </rPr>
          <t xml:space="preserve">Mehrjährige Nützlingsstreifen </t>
        </r>
        <r>
          <rPr>
            <b/>
            <sz val="9"/>
            <color indexed="81"/>
            <rFont val="Segoe UI"/>
            <family val="2"/>
          </rPr>
          <t>ab dem zweiten Standjahr</t>
        </r>
        <r>
          <rPr>
            <sz val="9"/>
            <color indexed="81"/>
            <rFont val="Segoe UI"/>
            <family val="2"/>
          </rPr>
          <t xml:space="preserve"> können unter Qualität erfasst werden und haben gleichzeitig Strukturvielfalt. 
Da einjährige Nützlingsstreifen nur 100 Tage stehen bleiben kann keine Strukturvielfalt erfasst werden. </t>
        </r>
      </text>
    </comment>
    <comment ref="G67" authorId="0" shapeId="0" xr:uid="{982AD33D-B363-4220-84FC-5D64212D0C99}">
      <text>
        <r>
          <rPr>
            <sz val="9"/>
            <color indexed="81"/>
            <rFont val="Segoe UI"/>
            <family val="2"/>
          </rPr>
          <t>Erfasst wird hier die Fläche der gesamten Dauerkultur mit Nützlingsstreifen. Das System übernimmt dann automatisch 5 % davon als BFF</t>
        </r>
      </text>
    </comment>
    <comment ref="K68" authorId="0" shapeId="0" xr:uid="{7CE8016F-8186-4A59-B00E-72CA80D319C9}">
      <text>
        <r>
          <rPr>
            <b/>
            <sz val="9"/>
            <color indexed="81"/>
            <rFont val="Segoe UI"/>
            <family val="2"/>
          </rPr>
          <t xml:space="preserve">Eine Kleinstruktur pro 7 Aren </t>
        </r>
        <r>
          <rPr>
            <sz val="9"/>
            <color indexed="81"/>
            <rFont val="Segoe UI"/>
            <family val="2"/>
          </rPr>
          <t xml:space="preserve">
Beispiel: 40 Aren Hecken-, Feld und Ufergehölze (mit Krautsaum) erfordern 6 Kleinstrukturen.
Als Kleinstrukturen in Hecken-, Feld und Ufergehölzen (mit Krautsaum) (852) gelten: 
• Steinhaufen, Felsen, Ast- und Holzhaufen sowie wasserführende Gräben
• Mindestfläche 2 m², Mindesthöhe 1 m, Mindestbreite 1 m für Felsen und Haufen, 5 m Länge für Gräben
</t>
        </r>
      </text>
    </comment>
    <comment ref="I69" authorId="0" shapeId="0" xr:uid="{5D33C4B7-F29A-4BF7-907F-04B1E18C384B}">
      <text>
        <r>
          <rPr>
            <b/>
            <sz val="9"/>
            <color indexed="81"/>
            <rFont val="Segoe UI"/>
            <family val="2"/>
          </rPr>
          <t>Simon Birrer:</t>
        </r>
        <r>
          <rPr>
            <sz val="9"/>
            <color indexed="81"/>
            <rFont val="Segoe UI"/>
            <family val="2"/>
          </rPr>
          <t xml:space="preserve">
Streueflächen werden immer als hochwertig taxiert. Deshalb verzichten wir auf eine Eingabe der Streue QII</t>
        </r>
      </text>
    </comment>
    <comment ref="K69" authorId="0" shapeId="0" xr:uid="{A69F02C1-C2DB-4986-A276-B9E30ED71901}">
      <text>
        <r>
          <rPr>
            <b/>
            <sz val="9"/>
            <color indexed="81"/>
            <rFont val="Segoe UI"/>
            <family val="2"/>
          </rPr>
          <t>Mind. 10 % Strukturen</t>
        </r>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t>
        </r>
      </text>
    </comment>
    <comment ref="K70" authorId="0" shapeId="0" xr:uid="{2E84FEB5-BBA7-44D8-92BB-EA2D7B6CDC28}">
      <text>
        <r>
          <rPr>
            <b/>
            <sz val="9"/>
            <color indexed="81"/>
            <rFont val="Segoe UI"/>
            <family val="2"/>
          </rPr>
          <t>Mind. 10 % Strukturen</t>
        </r>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Bedingung: Der 1. Schnitt findet nach dem zonenabhängigen Schnittzeitpunkt statt.
</t>
        </r>
      </text>
    </comment>
    <comment ref="K71" authorId="0" shapeId="0" xr:uid="{6ECB19DF-689B-43D7-9901-4437DCAAD509}">
      <text>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t>
        </r>
      </text>
    </comment>
    <comment ref="B77" authorId="0" shapeId="0" xr:uid="{17A01407-B2D9-4CE1-A313-2805D78FDB57}">
      <text>
        <r>
          <rPr>
            <sz val="9"/>
            <color indexed="81"/>
            <rFont val="Segoe UI"/>
            <family val="2"/>
          </rPr>
          <t>BFF ohne Bäume müssen mindestens 4.5 % der LN Fläche ausmachen</t>
        </r>
      </text>
    </comment>
    <comment ref="B83" authorId="0" shapeId="0" xr:uid="{536BA360-9371-4BE8-A7BB-16FE47E25E1F}">
      <text>
        <r>
          <rPr>
            <sz val="9"/>
            <color indexed="81"/>
            <rFont val="Segoe UI"/>
            <family val="2"/>
          </rPr>
          <t>Die BFF müssen mindestens 9 % der LN ausmachen, wobei für Spezialkulturen nur 5 % BFF benötigt werden</t>
        </r>
      </text>
    </comment>
    <comment ref="B88" authorId="0" shapeId="0" xr:uid="{60B4D445-92D9-4F7C-98BF-27680FDE1EA6}">
      <text>
        <r>
          <rPr>
            <sz val="9"/>
            <color indexed="81"/>
            <rFont val="Segoe UI"/>
            <family val="2"/>
          </rPr>
          <t>wird berechnet aus: 
Summe von Buntbrachen (556), Rotationsbrachen (557), Säume auf Ackerland (559), Ackerschonstreifen (555) und Nützlingsstreifen (572) plus 5.13.1 Getreide in weiter Reihe (Das System rechnet aber max. 1,75 % der AF an und nur falls mind. 3 ha oAF vorhanden sind.)</t>
        </r>
      </text>
    </comment>
    <comment ref="B91" authorId="0" shapeId="0" xr:uid="{1D567E4E-B794-424D-B745-30D1102E712E}">
      <text>
        <r>
          <rPr>
            <sz val="9"/>
            <color indexed="81"/>
            <rFont val="Segoe UI"/>
            <family val="2"/>
          </rPr>
          <t>Zur Erhaltung typischer Arten des Ackerlands ist ein grösserer Anteil von hochwertigen Biodiversitätsförderflächen auf der Ackerfläche notwendig. Dazu zählen Buntbrachen (556), Rotationsbrachen (557), Säume auf Ackerland (559), Ackerschonstreifen (555) und mehrjährige Nützlingsstreifen (572).  (ein- und mehrjährige Nützlingsstreifen unterscheidet das System aufgrund der Angabe als "strukturreich").
 Nicht anrechenbar ist Getreide in weiter Reihe aufgrund des Einsatzes von Pflanzenschutzmittel und/oder Dünger sowie die einjährigen Nützlingsstreifen welche aufgrund der kurzen Anlagedauer von 100 Tagen die wertvolle Struktur über die Wintermonate nicht aufweisen.</t>
        </r>
      </text>
    </comment>
    <comment ref="C101" authorId="0" shapeId="0" xr:uid="{D46EFD09-632F-4A99-85CA-F61FF91A984D}">
      <text>
        <r>
          <rPr>
            <sz val="9"/>
            <color indexed="81"/>
            <rFont val="Segoe UI"/>
            <family val="2"/>
          </rPr>
          <t>Hier sind alle  Biodiversitätsförderflächen BFF inkl. Bäume ( 1 Baum = 1 Are) anzugeben, welche sich in der Bergzone I und II befinden.</t>
        </r>
      </text>
    </comment>
    <comment ref="C102" authorId="0" shapeId="0" xr:uid="{37C18E54-D191-46C7-B0AF-27A9A8C61A83}">
      <text>
        <r>
          <rPr>
            <sz val="9"/>
            <color indexed="81"/>
            <rFont val="Segoe UI"/>
            <family val="2"/>
          </rPr>
          <t>Hier sind alle  Biodiversitätsförderflächen BFF inkl. Bäume ( 1 Baum = 1 Are) anzugeben, welche sich in der Bergzone III und IV befinden.</t>
        </r>
      </text>
    </comment>
    <comment ref="B104" authorId="0" shapeId="0" xr:uid="{952C9F55-2003-4A4F-9533-8D34D9B2D77E}">
      <text>
        <r>
          <rPr>
            <b/>
            <sz val="9"/>
            <color indexed="81"/>
            <rFont val="Segoe UI"/>
            <family val="2"/>
          </rPr>
          <t>Simon Birrer:</t>
        </r>
        <r>
          <rPr>
            <sz val="9"/>
            <color indexed="81"/>
            <rFont val="Segoe UI"/>
            <family val="2"/>
          </rPr>
          <t xml:space="preserve">
Als grossflächige BFF zählen alle qualitativ wertvollen BFF (Q II, NHG sowie Projektqualität) mit mindestens 25 Aren. Diese Fläche entspricht einer Einheit (Anzahl = 1). 
Grössere Flächen können aus mehreren Einheiten à 25 Aren bestehen: Eine BFF mit Qualität welche 53 Aren gross ist, entspricht 2 Einheiten, eine BFF mit Qualität von 140 Aren entspricht 5 Einheiten usw.</t>
        </r>
      </text>
    </comment>
    <comment ref="C105" authorId="0" shapeId="0" xr:uid="{B857AB28-A274-4BA4-8F45-922F6821DACF}">
      <text>
        <r>
          <rPr>
            <sz val="9"/>
            <color indexed="81"/>
            <rFont val="Segoe UI"/>
            <family val="2"/>
          </rPr>
          <t>Buntbrache (556), Rotationsbrache (557), Saum auf Ackerflächen (559), Ackerschonstreifen (555) und Nützlingsstreifen (572). Sie können also immer angegeben werden, sobald die Fläche grösser als 25 Aren ist.</t>
        </r>
      </text>
    </comment>
    <comment ref="C109" authorId="0" shapeId="0" xr:uid="{7B03A8C3-AE64-4219-8CC0-B91A8890FE63}">
      <text>
        <r>
          <rPr>
            <b/>
            <sz val="9"/>
            <color indexed="81"/>
            <rFont val="Segoe UI"/>
            <family val="2"/>
          </rPr>
          <t>Anzahl</t>
        </r>
        <r>
          <rPr>
            <sz val="9"/>
            <color indexed="81"/>
            <rFont val="Segoe UI"/>
            <family val="2"/>
          </rPr>
          <t xml:space="preserve"> Flächen, die </t>
        </r>
        <r>
          <rPr>
            <b/>
            <sz val="9"/>
            <color indexed="81"/>
            <rFont val="Segoe UI"/>
            <family val="2"/>
          </rPr>
          <t xml:space="preserve">grösser als 25 Aren </t>
        </r>
        <r>
          <rPr>
            <sz val="9"/>
            <color indexed="81"/>
            <rFont val="Segoe UI"/>
            <family val="2"/>
          </rPr>
          <t>sind,</t>
        </r>
        <r>
          <rPr>
            <b/>
            <sz val="9"/>
            <color indexed="81"/>
            <rFont val="Segoe UI"/>
            <family val="2"/>
          </rPr>
          <t xml:space="preserve"> Qualität II oder NHG aufweisen </t>
        </r>
        <r>
          <rPr>
            <sz val="9"/>
            <color indexed="81"/>
            <rFont val="Segoe UI"/>
            <family val="2"/>
          </rPr>
          <t xml:space="preserve"> und zu den Typen extensiv genutzte Wiesen (611), wenig intensiv genutzte Wiesen (612), extensiv genutzte Weiden (617), Waldweiden (618), Hecken, Feld- und Ufergehölze mit Krautsaum (852) oder Streueflächen (851) gehören.</t>
        </r>
      </text>
    </comment>
    <comment ref="B118" authorId="0" shapeId="0" xr:uid="{6DC3103F-F526-4982-B183-160A502D76BE}">
      <text>
        <r>
          <rPr>
            <sz val="9"/>
            <color indexed="81"/>
            <rFont val="Segoe UI"/>
            <family val="2"/>
          </rPr>
          <t>Bei der räumlichen Verteilung können alle BFF angegeben werden, welche grösser als 10 Aren sind. Dabei spielt es im Gegensatz zu Punkt 7 keine Rolle, welche Qualitätsstufe die Fläche erreicht. Bei diesem Punkt können die Flächen aber nicht unterteilt werden. Eine BFF von 1,3 ha entspricht also einem Element.</t>
        </r>
      </text>
    </comment>
    <comment ref="C119" authorId="0" shapeId="0" xr:uid="{F5AB5A58-30F6-432D-97A3-7E44C2214842}">
      <text>
        <r>
          <rPr>
            <sz val="9"/>
            <color indexed="81"/>
            <rFont val="Segoe UI"/>
            <family val="2"/>
          </rPr>
          <t>Anzahl der BFF auf der Ackerfläche (Buntbrache (556), Rotationsbrache (557), Saum auf Ackerflächen (559), Ackerschonstreifen (555) und Nützlingsstreifen (572) anzugeben, welche mindestens 10 Aren gross sind.</t>
        </r>
      </text>
    </comment>
    <comment ref="C123" authorId="0" shapeId="0" xr:uid="{89CAD430-BFD6-4D26-97CD-05AC2446BFEE}">
      <text>
        <r>
          <rPr>
            <sz val="9"/>
            <color indexed="81"/>
            <rFont val="Segoe UI"/>
            <family val="2"/>
          </rPr>
          <t>Hier sind die Biodiversitätsförderflächen BFF auf Dauergrünland inkl. der Streueflächen und Hecken anzugeben, welche mindestens 10 Aren gross sind. Dazu zählen extensive Wiesen, wenig intensive Wiesen, extensive Weiden, Hecken, Feld- und Ufergehölze, Uferwiesen entlang von Fliessgewässern und Streueflächen. Eine extensive Wiese, welche auf Ackerland angelegt wurde, zählt als BFF auf Dauergrünland. Im Gegensatz zu Punkt 7 werden hier auch Flächen ohne Qualität angerechnet und grosse BFF dürfen nicht in kleinere Einheiten zerlegt werden.</t>
        </r>
      </text>
    </comment>
    <comment ref="C134" authorId="0" shapeId="0" xr:uid="{6B0FACAA-DA3B-4F0B-9D7E-97BC7C88690D}">
      <text>
        <r>
          <rPr>
            <sz val="9"/>
            <color indexed="81"/>
            <rFont val="Segoe UI"/>
            <family val="2"/>
          </rPr>
          <t xml:space="preserve">• Deklariert wird die gesamte Fläche der Hauptkultur (z.B. Weizen)
• Mindestens 3 Kleinflächen à 3 × 9 m pro Hektare oder ein Streifen à 3 × 25 m (oder 2 × 40 m) 
• Korrekte Anlage beachten: Nicht an Ackerrändern oder Fahrgassen und gleichmässig verteilt
• Die mechanische Unkrautbekämpfung (Striegeln) ist auf den Kleinflächen nicht erlaubt. 
• Kein Einsatz von Herbiziden ab Saat der Hauptkultur (z.B. Weizen)
• Blacken, Ackerkratzdisteln und Winden dürfen von Hand oder chemisch mit der Rückenspritze bekämpft werden 
• Optional: Einsaat der Kleinflächen mit einheimischer Wildkräutermischung (im November bei Winterkulturen oder im Februar/März bei Sommerkulturen)
Details siehe: https://www.ipsuisse.ch  Produktion  Anforderungen  Biodiversität
</t>
        </r>
      </text>
    </comment>
    <comment ref="C136" authorId="0" shapeId="0" xr:uid="{9282E659-8433-42DB-9F14-DB808DAF51E1}">
      <text>
        <r>
          <rPr>
            <sz val="9"/>
            <color indexed="81"/>
            <rFont val="Segoe UI"/>
            <family val="2"/>
          </rPr>
          <t>Deklariert wird hier die gesamte Fläche der Hauptkultur welche im Rahmen von kantonalen Vernetzungsprojekten als «regionsspezifische Biodiversitätsförderfläche» angemeldet wurde</t>
        </r>
      </text>
    </comment>
    <comment ref="C138" authorId="0" shapeId="0" xr:uid="{215405FD-7D88-46DA-AF37-32723F057263}">
      <text>
        <r>
          <rPr>
            <sz val="9"/>
            <color indexed="81"/>
            <rFont val="Segoe UI"/>
            <family val="2"/>
          </rPr>
          <t>Bei Sommergetreide handelt es sich um Getreide, welches nach dem 15. Februar ausgesät wurd</t>
        </r>
      </text>
    </comment>
    <comment ref="C142" authorId="0" shapeId="0" xr:uid="{0106B304-E377-4D69-988E-29E9C0628AB0}">
      <text>
        <r>
          <rPr>
            <sz val="9"/>
            <color indexed="81"/>
            <rFont val="Segoe UI"/>
            <family val="2"/>
          </rPr>
          <t>Bei Untersaaten im Mais wird zwischen den Reihen eine Mischung mit Klee-Gras eingesät. Der flächige Einsatz von Herbiziden ist nicht erlaubt.</t>
        </r>
      </text>
    </comment>
    <comment ref="C144" authorId="0" shapeId="0" xr:uid="{93EBBF20-0C56-4C7A-B2F8-65312819430E}">
      <text>
        <r>
          <rPr>
            <sz val="9"/>
            <color indexed="81"/>
            <rFont val="Segoe UI"/>
            <family val="2"/>
          </rPr>
          <t>Bei Untersaaten in Getreide, Raps und Sonnenblumen wird zwischen den Reihen eine Untersaat-Mischung eingesät.</t>
        </r>
      </text>
    </comment>
    <comment ref="C146" authorId="0" shapeId="0" xr:uid="{A3A6910B-D03D-4170-86AD-25A110D9227E}">
      <text>
        <r>
          <rPr>
            <sz val="9"/>
            <color indexed="81"/>
            <rFont val="Segoe UI"/>
            <family val="2"/>
          </rPr>
          <t>Um auf einer Buntbrachen (556) unterschiedliche Pflanzenbestände und Strukturvielfalt zu fördern, kann ¼ der Fläche im Herbst (ab. 1. Oktober) mit dem Pflug, Grubber oder einer Egge oberflächlich bearbeitet und im Frühjahr gegebenfalls lückig neu eingesät werden. Über diese Pflegemassnahmen kann die Erneuerung von Buntbrachen gelenkt, sowie eine Vergrasung und Verbuschung verringert werden.
Rotationsbrachen (557) können nicht eingetragen werden, da diese Massnahme bei ihnen wegen ihrer kurzzeitigen Anlage ungeeignet ist.</t>
        </r>
      </text>
    </comment>
    <comment ref="C148" authorId="0" shapeId="0" xr:uid="{FB92A94E-7451-496E-AC85-A0EE6F35AB79}">
      <text>
        <r>
          <rPr>
            <sz val="9"/>
            <color indexed="81"/>
            <rFont val="Segoe UI"/>
            <family val="2"/>
          </rPr>
          <t xml:space="preserve">Anrechenbar sind alle Ackerkulturen die ohne Wachstumsregulatoren / Phytoregulatoren, Fungizide, Stimulatoren der natürlichen Abwehrkräfte und Insektizide (Anforderungen DZV) angebaut werden. 
Folgende Kulturen können angemeldet werden: Raps, Brotweizen, Hartweizen, Futterweizen, Roggen, Dinkel, Hafer, Gerste, Triticale, Emmer, Einkorn, Kartoffeln, Lein, Zuckerrüben, Sonnenblumen, Freiland-Konservengemüse, Erbsen, Ackerbohnen und Lupinen. Kartoffeln können nicht angemeldet werden.
Die Kulturen sind im Programm «Verzicht auf Pflanzenschutz» (ehemals Extenso) des Bundes angemeldet. Der Bioanbau ist ebenfalls möglich. </t>
        </r>
      </text>
    </comment>
    <comment ref="C150" authorId="0" shapeId="0" xr:uid="{AD8CA12F-17EE-4D85-8569-0114514441DE}">
      <text>
        <r>
          <rPr>
            <sz val="9"/>
            <color indexed="81"/>
            <rFont val="Segoe UI"/>
            <family val="2"/>
          </rPr>
          <t>Anrechenbar sind alle Kartoffelkulturen, die ohne Insektizide angebaut werden. Zugelassen sind nur Produkte mit dem natürlichen Bacillus thuringiensis gegen Kartoffelkäfer (analog den Produktionssystembeiträge Ackerbau des Bundes). Der Bioanbau ist ebenfalls möglich</t>
        </r>
      </text>
    </comment>
    <comment ref="C152" authorId="0" shapeId="0" xr:uid="{9349186C-6C74-4404-B9C6-EDA5FDA26C0D}">
      <text>
        <r>
          <rPr>
            <sz val="9"/>
            <color indexed="81"/>
            <rFont val="Segoe UI"/>
            <family val="2"/>
          </rPr>
          <t xml:space="preserve">Anrechenbar ist die Fläche aller Ackerkulturen (ohne Kunstwiesen), die nicht mit Herbiziden behandelt werden (Totalverzicht). Der Verzicht von Herbiziden gilt bereits ab Ernte der Vorkultur. Eine Bandspritzung ist </t>
        </r>
        <r>
          <rPr>
            <b/>
            <sz val="9"/>
            <color indexed="81"/>
            <rFont val="Segoe UI"/>
            <family val="2"/>
          </rPr>
          <t>nicht</t>
        </r>
        <r>
          <rPr>
            <sz val="9"/>
            <color indexed="81"/>
            <rFont val="Segoe UI"/>
            <family val="2"/>
          </rPr>
          <t xml:space="preserve"> erlaubt. Im Kartoffelanbau dürfen keine Herbizide zur Eliminierung von Stauden eingesetzt werden.</t>
        </r>
      </text>
    </comment>
    <comment ref="C169" authorId="0" shapeId="0" xr:uid="{AA7E5D27-8B71-4A73-B9E9-48BA984B3E7D}">
      <text>
        <r>
          <rPr>
            <sz val="9"/>
            <color indexed="81"/>
            <rFont val="Segoe UI"/>
            <family val="2"/>
          </rPr>
          <t xml:space="preserve">Eine gestaffelte Wiesennutzung mit Schnittzeitpunkt vor dem DZV-Schnittzeitpunkt ist nur auf Flächen möglich, für welche eine solche Massnahme in einem Vernetzungsprojekt oder in einem Naturschutzvertrag festgehalten sind. Die Abweichung vom Schnittzeitpunkt muss schriftlich vereinbart werden. 
Altgrasflächen
• Mindestfläche 10 %
• Nach dem 31. August verbleibt die Altgrasfläche am gleichen Standort bis zur nächsten Vegetationsperiode und darf auch nicht beweidet werden. </t>
        </r>
      </text>
    </comment>
    <comment ref="C180" authorId="0" shapeId="0" xr:uid="{80037D4E-EE35-488F-9969-83B291E3ACA1}">
      <text>
        <r>
          <rPr>
            <sz val="9"/>
            <color indexed="81"/>
            <rFont val="Segoe UI"/>
            <family val="2"/>
          </rPr>
          <t>Anrechenbar sind die Fläche von Dauerwiesen und Kunstwiesen, die bei jedem Schnitt unter Verzicht eines Aufbereiters (Quetscher, Knicker etc.) gemäht werden.</t>
        </r>
      </text>
    </comment>
    <comment ref="B197" authorId="0" shapeId="0" xr:uid="{DDFBEDDB-3265-4D3C-AA25-7D0BAD68B480}">
      <text>
        <r>
          <rPr>
            <sz val="9"/>
            <color indexed="81"/>
            <rFont val="Segoe UI"/>
            <family val="2"/>
          </rPr>
          <t xml:space="preserve">Ein aufgewerteter Waldrand ist ein Waldrand, der in Zusammenarbeit mit dem Förster aufgewertet wird. Der Förster muss für die entsprechenden Laufmeter eine Bestätigung ausstellen. Diese Massnahme ist die einzige, welche nicht auf der LN des Betriebes umgesetzt werden kann. Die Person, welche Punkte geltend machen will, muss nachweisen, dass sie den Waldrand bewirt-schaftet (im Eigentum oder im Bewirtschaftungsverhältnis). Ein Muster für eine Bestätigung finden Sie unter Waldrand.pdf.
Nachfolgende Pflegeeingriffe (alle 4 bis 6 Jahre) sind zwingend, um den gestuften Waldrand zu erhalten und werden im Punktesystem erfasst. Erfolgt kein Pflegeeingriff innert sieben Jahren so wird die Punktzahl gelöscht.
</t>
        </r>
      </text>
    </comment>
    <comment ref="G198" authorId="0" shapeId="0" xr:uid="{F41A8DB7-FADF-4BF4-B908-77EC5438C16D}">
      <text>
        <r>
          <rPr>
            <sz val="9"/>
            <color indexed="81"/>
            <rFont val="Segoe UI"/>
            <family val="2"/>
          </rPr>
          <t>Länge des aufgewerteten Abschnittes in Metern</t>
        </r>
      </text>
    </comment>
    <comment ref="K198" authorId="0" shapeId="0" xr:uid="{3DE46353-6C18-403E-A021-8492D51A5356}">
      <text>
        <r>
          <rPr>
            <sz val="9"/>
            <color indexed="81"/>
            <rFont val="Segoe UI"/>
            <family val="2"/>
          </rPr>
          <t>Länge des aufgewerteten Abschnittes in Metern</t>
        </r>
      </text>
    </comment>
    <comment ref="C205" authorId="0" shapeId="0" xr:uid="{478899ED-D16A-4FD7-B795-6AE54C10DEAE}">
      <text>
        <r>
          <rPr>
            <sz val="9"/>
            <color indexed="81"/>
            <rFont val="Segoe UI"/>
            <family val="2"/>
          </rPr>
          <t xml:space="preserve">Alle Feldränder im Ackerbau dürfen ganzjährig nicht gemulcht werden. </t>
        </r>
      </text>
    </comment>
    <comment ref="C208" authorId="0" shapeId="0" xr:uid="{9BC5CC66-EBD2-44A2-B0CA-B68DDC1C5CAD}">
      <text>
        <r>
          <rPr>
            <sz val="9"/>
            <color indexed="81"/>
            <rFont val="Segoe UI"/>
            <family val="2"/>
          </rPr>
          <t xml:space="preserve">Betriebe, die regionaltypische, vor dem Verschwinden bedrohte Tierrassen halten tragen hier die Anzahl Herdebuchtiere der betreffenden Tierrassen ein.
Welche Tierrassen als bedroht gelten, finden Sie hier: https://www.ipsuisse.ch -&gt; Produktion -&gt; Anforderungen -&gt; Biodiversität
</t>
        </r>
      </text>
    </comment>
    <comment ref="C210" authorId="0" shapeId="0" xr:uid="{ED5A5918-93E8-473E-BF87-39BB6EF645FD}">
      <text>
        <r>
          <rPr>
            <sz val="9"/>
            <color indexed="81"/>
            <rFont val="Segoe UI"/>
            <family val="2"/>
          </rPr>
          <t>Es gelten Sorten Es ist die Anzahl Hochstammbäume, respektive die Fläche in Aren anzugeben. Der Landwirt hat eine entsprechende Liste mit Angabe der Obstsorten oder Angabe der Pflanzensorten vorzulegen. Die Listen mit den anrechenbaren Sorten finden Sie unter https://www.ipsuisse.ch -&gt; Anforderungen -&gt; Biodiversität
-&gt; Alte Getreidesorten
-&gt; Alte Kartoffelsorten
-&gt; Alte Obstsorten (Fructus)
Alte Sorten auf Niederstamm-Anlagen sind nicht anrechenbar. Wildobstarten gelten nicht als alte Obstsorten und werden hier nicht berücksichtigt.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Simon Birrer</author>
  </authors>
  <commentList>
    <comment ref="W1" authorId="0" shapeId="0" xr:uid="{00000000-0006-0000-0300-000001000000}">
      <text>
        <r>
          <rPr>
            <b/>
            <sz val="12"/>
            <color indexed="81"/>
            <rFont val="Tahoma"/>
            <family val="2"/>
          </rPr>
          <t>zur Zeit nicht aktiv: 
falls 1 
 missachtet</t>
        </r>
      </text>
    </comment>
    <comment ref="C14" authorId="0" shapeId="0" xr:uid="{173CEB28-69C2-4954-924E-9C294AB32723}">
      <text>
        <r>
          <rPr>
            <sz val="9"/>
            <color indexed="81"/>
            <rFont val="Segoe UI"/>
            <family val="2"/>
          </rPr>
          <t xml:space="preserve">Umfasst alle intensiv genutzten Wiesen und Weiden sowie die BFF „extensive Wiesen“ „wenig intensiv genutzte Wiesen“, „extensiv genutzte Weiden“, „Waldweiden“, „Hecken-, Feld- und Ufergehölze“ und „Uferwiesen entlang von Fliessgewässern“. Kunstwiesen, die älter sind als sechs Jahre, zählen ebenfalls zum Dauergrünland.
</t>
        </r>
      </text>
    </comment>
    <comment ref="C15" authorId="0" shapeId="0" xr:uid="{9224FA9A-CCF7-4759-9AAB-20558073184F}">
      <text>
        <r>
          <rPr>
            <sz val="9"/>
            <color indexed="81"/>
            <rFont val="Segoe UI"/>
            <family val="2"/>
          </rPr>
          <t xml:space="preserve">Die offene Ackerfläche umfasst alle Ackerkulturen. Die Buntbrachen (556), Rotationsbrachen (557), Saum auf Ackerflächen (559), Ackerschonstreifen (555) und Nützlingsstreifen (572) zählen auch zur offenen Ackerfläche.
</t>
        </r>
      </text>
    </comment>
    <comment ref="C16" authorId="0" shapeId="0" xr:uid="{80EE6530-E1C3-4062-B1F6-D409EAE44FD1}">
      <text>
        <r>
          <rPr>
            <sz val="9"/>
            <color indexed="81"/>
            <rFont val="Segoe UI"/>
            <family val="2"/>
          </rPr>
          <t>Als Kunstwiese (601) gilt die als Wiese angesäte Fläche, die innerhalb einer Fruchtfolge während mindestens einer Vegetationsperiode bewirtschaftet wird.</t>
        </r>
      </text>
    </comment>
    <comment ref="D17" authorId="0" shapeId="0" xr:uid="{D616A3E8-3305-4048-A810-2F8BD9FE2566}">
      <text>
        <r>
          <rPr>
            <sz val="9"/>
            <color indexed="81"/>
            <rFont val="Segoe UI"/>
            <family val="2"/>
          </rPr>
          <t xml:space="preserve">Dieser Wert wird automatisch berechnet. 
Er umfasst die </t>
        </r>
        <r>
          <rPr>
            <b/>
            <sz val="9"/>
            <color indexed="81"/>
            <rFont val="Segoe UI"/>
            <family val="2"/>
          </rPr>
          <t>offene Ackerfläche</t>
        </r>
        <r>
          <rPr>
            <sz val="9"/>
            <color indexed="81"/>
            <rFont val="Segoe UI"/>
            <family val="2"/>
          </rPr>
          <t xml:space="preserve"> (Kulturen, Brachen, Säume) und die </t>
        </r>
        <r>
          <rPr>
            <b/>
            <sz val="9"/>
            <color indexed="81"/>
            <rFont val="Segoe UI"/>
            <family val="2"/>
          </rPr>
          <t>Kunstwiesen.</t>
        </r>
      </text>
    </comment>
    <comment ref="C18" authorId="0" shapeId="0" xr:uid="{668083D7-3343-42DE-8754-49584559A4E6}">
      <text>
        <r>
          <rPr>
            <sz val="9"/>
            <color indexed="81"/>
            <rFont val="Segoe UI"/>
            <family val="2"/>
          </rPr>
          <t>Es werden alle Flächen angegeben, welche in den Ziffern «1.1.1 Dauergrünland» bis «1.1.4 Ackerfläche» nicht angegeben werden konnten, wie beispielsweise Streueflächen, Dauerkulturen wie Beeren, Obstanlagen, Christbaumkulturen etc. Die Summe von «1.1.1 Dauergrünland» bis «1.1.5 Streue, Dauerkulturen, übrige Flächen» muss der LN (Ziff. «1.1 LN») entsprechen.</t>
        </r>
      </text>
    </comment>
    <comment ref="C22" authorId="0" shapeId="0" xr:uid="{86C99F7F-CF82-4127-99F6-27C924BA80BA}">
      <text>
        <r>
          <rPr>
            <sz val="9"/>
            <color indexed="81"/>
            <rFont val="Segoe UI"/>
            <family val="2"/>
          </rPr>
          <t xml:space="preserve">Hier können alle Spezialkulturen gemäss BLW angegeben werden. Die Fläche aller Spezialkulturen ist im kantonalen Strukturdatenblatt ersichtlich. </t>
        </r>
      </text>
    </comment>
    <comment ref="C26" authorId="0" shapeId="0" xr:uid="{A8934E6C-7710-4BB1-B227-A7ABACFD979A}">
      <text>
        <r>
          <rPr>
            <sz val="9"/>
            <color indexed="81"/>
            <rFont val="Segoe UI"/>
            <family val="2"/>
          </rPr>
          <t>Falls die LN des Betriebs auf verschiedene Zonen verteilt ist, sind die Teilflächen in den entspre-chenden Zonen einzutragen (Ziff. 1.2.1 für Bergzone I und II, Ziff. 1.2.2 für Bergzone III und IV). Die Summe von 1.2 bis 1.2.2 muss der LN (Ziff. «1.1 LN») entsprechen.</t>
        </r>
      </text>
    </comment>
    <comment ref="C31" authorId="0" shapeId="0" xr:uid="{F6D02E26-39C8-4506-962C-816FE6C8F8D2}">
      <text>
        <r>
          <rPr>
            <sz val="9"/>
            <color indexed="81"/>
            <rFont val="Segoe UI"/>
            <family val="2"/>
          </rPr>
          <t xml:space="preserve">Erfassen Sie die Düngergrossvieheinheit GVE Betrieb (nach Nährstoffanfall), gemäss Ihrer Suisse-Bilanz. Es ist dieser Wert einzutragen und </t>
        </r>
        <r>
          <rPr>
            <b/>
            <sz val="9"/>
            <color indexed="81"/>
            <rFont val="Segoe UI"/>
            <family val="2"/>
          </rPr>
          <t>nicht</t>
        </r>
        <r>
          <rPr>
            <sz val="9"/>
            <color indexed="81"/>
            <rFont val="Segoe UI"/>
            <family val="2"/>
          </rPr>
          <t xml:space="preserve"> die für Direktzahlungen relevanten Beitrags-GVE aus der Strukturdatenerhebung. </t>
        </r>
      </text>
    </comment>
    <comment ref="B36" authorId="0" shapeId="0" xr:uid="{D87AC9E8-9F1D-4076-885F-4A0614A60B1F}">
      <text>
        <r>
          <rPr>
            <b/>
            <sz val="10"/>
            <color indexed="81"/>
            <rFont val="Tahoma"/>
            <family val="2"/>
          </rPr>
          <t>in Grundeinstellung auf 9999 stellen</t>
        </r>
      </text>
    </comment>
    <comment ref="C40" authorId="0" shapeId="0" xr:uid="{685E2073-1F07-4F73-B1FD-B3378ACA8282}">
      <text>
        <r>
          <rPr>
            <sz val="9"/>
            <color indexed="81"/>
            <rFont val="Segoe UI"/>
            <family val="2"/>
          </rPr>
          <t xml:space="preserve">Eine Nutzungsparzelle ist eine Fläche, die mit derselben </t>
        </r>
        <r>
          <rPr>
            <b/>
            <sz val="9"/>
            <color indexed="81"/>
            <rFont val="Segoe UI"/>
            <family val="2"/>
          </rPr>
          <t>Kultur</t>
        </r>
        <r>
          <rPr>
            <sz val="9"/>
            <color indexed="81"/>
            <rFont val="Segoe UI"/>
            <family val="2"/>
          </rPr>
          <t xml:space="preserve"> (z.B. Weizen, Wiese intensiv, Gerste, Weide intensiv, Mais etc.) angebaut wird. </t>
        </r>
        <r>
          <rPr>
            <b/>
            <sz val="9"/>
            <color indexed="81"/>
            <rFont val="Segoe UI"/>
            <family val="2"/>
          </rPr>
          <t>BFF zählen nicht als Nutzungsparzellen</t>
        </r>
        <r>
          <rPr>
            <sz val="9"/>
            <color indexed="81"/>
            <rFont val="Segoe UI"/>
            <family val="2"/>
          </rPr>
          <t xml:space="preserve">. Wächst auf zwei aneinandergrenzenden Grundbuchparzellen die gleiche Kultur, wird sie als eine Nutzungsparzelle betrachtet. Umgekehrt gilt eine Grundbuchparzelle als zwei Nutzungsparzellen, wenn sie mit zwei verschiedenen Kulturen oder unterschiedlichen Grünlandnutzungen bebaut wird. Bei gleichen Kulturpflanzen, z.B. Weizen, wird zwischen Winter- und Sommeranbau unterschieden. Beim Grünland wird zwischen Mähwiese und Weide unterschieden. Bei einer Grünlandparzelle, die gemäht und beweidet wird, zählt nur die Hauptnutzung. Eine Nutzungsparzelle muss mindestens 10 Aren gross sein. Bäche, Wege, Gräben oder BFF können eine Parzelle trotz identischer Nutzung in mehrere Nutzungsparzellen unterteilen. Im Gemüsebau dürfen nur Freilandkultu-ren angerechnet werden, Folientunnel und Gewächshäuser werden nicht als Nutzungsparzelle gezählt.
Aus der Zahl der Nutzungsparzellen und der LN wird die durchschnittliche Grösse der Nutzungsparzellen automatisch berechnet. Und aufgrund dieses Wertes werden Punkte vergeben.
</t>
        </r>
      </text>
    </comment>
    <comment ref="B45" authorId="0" shapeId="0" xr:uid="{EDD1BD4B-A691-4433-AB4C-589232EA6E46}">
      <text>
        <r>
          <rPr>
            <sz val="9"/>
            <color indexed="81"/>
            <rFont val="Segoe UI"/>
            <family val="2"/>
          </rPr>
          <t>Als Nutzungstypen zählen: Ackerkulturen, Mähwiesen, Weiden, Streuenutzung, Obstbau, (Niederstammkulturen, Hochstammkulturen), Gemüsebau, Rebbau sowie übrige Spezialkultu-ren (wie Beeren, Tabak, Schnittblumen). Angegeben werden nur diejenigen Nutzungstypen, die mindestens 8 % der LN (dieser Wert wird automatisch angegeben) ausmachen. Bei kombinier-ten Nutzungen wie Mähnutzung und Weide auf der gleichen Parzelle kann nur die Hauptnutzung als Nutzungstyp angerechnet werden. 
Für den Nutzungstyp «Obstbau» muss ein Betrieb je 10 ha LN mindestens 80 Hochstammbäume aufweisen oder die Fläche der Anlage muss mindestens 8 % der LN betragen.</t>
        </r>
      </text>
    </comment>
    <comment ref="B46" authorId="0" shapeId="0" xr:uid="{26E5EDCE-3735-4CD5-827E-9BA0C6713860}">
      <text>
        <r>
          <rPr>
            <sz val="9"/>
            <color indexed="81"/>
            <rFont val="Segoe UI"/>
            <family val="2"/>
          </rPr>
          <t xml:space="preserve">Als Nutzungstypen zählen:
</t>
        </r>
        <r>
          <rPr>
            <b/>
            <sz val="9"/>
            <color indexed="81"/>
            <rFont val="Segoe UI"/>
            <family val="2"/>
          </rPr>
          <t>Ackerkulturen, Mähwiesen, Weiden, Streuenutzung, Obstbau</t>
        </r>
        <r>
          <rPr>
            <sz val="9"/>
            <color indexed="81"/>
            <rFont val="Segoe UI"/>
            <family val="2"/>
          </rPr>
          <t xml:space="preserve">, (Niederstammkulturen, Hochstammkulturen), </t>
        </r>
        <r>
          <rPr>
            <b/>
            <sz val="9"/>
            <color indexed="81"/>
            <rFont val="Segoe UI"/>
            <family val="2"/>
          </rPr>
          <t>Gemüsebau, Rebbau sowie übrige Spezialkulturen</t>
        </r>
        <r>
          <rPr>
            <sz val="9"/>
            <color indexed="81"/>
            <rFont val="Segoe UI"/>
            <family val="2"/>
          </rPr>
          <t xml:space="preserve"> (wie Beeren, Tabak, Schnittblumen). Angegeben werden nur diejenigen Nutzungstypen, die </t>
        </r>
        <r>
          <rPr>
            <b/>
            <sz val="9"/>
            <color indexed="81"/>
            <rFont val="Segoe UI"/>
            <family val="2"/>
          </rPr>
          <t xml:space="preserve">mindestens 8 % der LN </t>
        </r>
        <r>
          <rPr>
            <sz val="9"/>
            <color indexed="81"/>
            <rFont val="Segoe UI"/>
            <family val="2"/>
          </rPr>
          <t>(dieser Wert wird automatisch angegeben) ausmachen. Bei kombinierten Nutzungen wie Mähnutzung und Weide auf der gleichen Parzelle kann nur die Hauptnutzung als Nutzungstyp angerechnet werden.
Für den Nutzungstyp «Obstbau» muss ein Betrieb je 10 ha LN mindestens 80 Hochstammbäume aufweisen oder die Fläche der Anlage muss mindestens 8 % der LN betragen.</t>
        </r>
      </text>
    </comment>
    <comment ref="G55" authorId="0" shapeId="0" xr:uid="{6D569C8F-33FF-4687-A570-5FF404F43FA5}">
      <text>
        <r>
          <rPr>
            <sz val="9"/>
            <color indexed="81"/>
            <rFont val="Segoe UI"/>
            <family val="2"/>
          </rPr>
          <t>In dieser Spalte werden alle BFF erfasst, welche gemäss Strukturdatenerhebung durch den Betrieb angemeldet sind. 
Es wird hier nicht zwischen BFF QI und Q II unterschieden.</t>
        </r>
      </text>
    </comment>
    <comment ref="I55" authorId="0" shapeId="0" xr:uid="{32B709E9-0A8D-4DC4-B03E-207B75709E75}">
      <text>
        <r>
          <rPr>
            <sz val="9"/>
            <color indexed="81"/>
            <rFont val="Segoe UI"/>
            <family val="2"/>
          </rPr>
          <t xml:space="preserve">In dieser Spalte sind BFF einzutragen, welche die </t>
        </r>
        <r>
          <rPr>
            <b/>
            <sz val="9"/>
            <color indexed="81"/>
            <rFont val="Segoe UI"/>
            <family val="2"/>
          </rPr>
          <t>Qualitätsstufe II</t>
        </r>
        <r>
          <rPr>
            <sz val="9"/>
            <color indexed="81"/>
            <rFont val="Segoe UI"/>
            <family val="2"/>
          </rPr>
          <t xml:space="preserve"> erfüllen oder für die ein </t>
        </r>
        <r>
          <rPr>
            <b/>
            <sz val="9"/>
            <color indexed="81"/>
            <rFont val="Segoe UI"/>
            <family val="2"/>
          </rPr>
          <t>Naturschutzvertrag</t>
        </r>
        <r>
          <rPr>
            <sz val="9"/>
            <color indexed="81"/>
            <rFont val="Segoe UI"/>
            <family val="2"/>
          </rPr>
          <t xml:space="preserve"> mit dem Kanton oder der Gemeinde besteht.
Eine BFF kann entweder Projektqualität oder Qualitätsstufe I oder II erfüllen – nie aber beides.</t>
        </r>
      </text>
    </comment>
    <comment ref="K58" authorId="0" shapeId="0" xr:uid="{C1B92CF3-870B-4567-9FF4-6EFF0D2319EF}">
      <text>
        <r>
          <rPr>
            <b/>
            <sz val="9"/>
            <color indexed="81"/>
            <rFont val="Segoe UI"/>
            <family val="2"/>
          </rPr>
          <t>Mind. 10 % Strukturen</t>
        </r>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t>
        </r>
      </text>
    </comment>
    <comment ref="K59" authorId="0" shapeId="0" xr:uid="{9B0DFDAD-F86A-4DC6-81D6-5406D873BDF6}">
      <text>
        <r>
          <rPr>
            <b/>
            <sz val="9"/>
            <color indexed="81"/>
            <rFont val="Segoe UI"/>
            <family val="2"/>
          </rPr>
          <t>Mind. 10 % Strukturen</t>
        </r>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t>
        </r>
      </text>
    </comment>
    <comment ref="B60" authorId="0" shapeId="0" xr:uid="{ECAF3A5E-214D-4394-95A8-66A7F17E2504}">
      <text>
        <r>
          <rPr>
            <sz val="9"/>
            <color indexed="81"/>
            <rFont val="Segoe UI"/>
            <family val="2"/>
          </rPr>
          <t>Waldweide (618, 625)</t>
        </r>
      </text>
    </comment>
    <comment ref="K60" authorId="0" shapeId="0" xr:uid="{E9CD3376-31B1-4460-AADE-390AAA993825}">
      <text>
        <r>
          <rPr>
            <b/>
            <sz val="9"/>
            <color indexed="81"/>
            <rFont val="Segoe UI"/>
            <family val="2"/>
          </rPr>
          <t xml:space="preserve">Min. 5 % Strukturen
</t>
        </r>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t>
        </r>
      </text>
    </comment>
    <comment ref="I61" authorId="0" shapeId="0" xr:uid="{B02A053E-F9DE-4F22-8A85-D109FB49A5F6}">
      <text>
        <r>
          <rPr>
            <sz val="9"/>
            <color indexed="81"/>
            <rFont val="Segoe UI"/>
            <family val="2"/>
          </rPr>
          <t>Buntbrachen zählen automatisch zu den BFF mit Qualität (Ziff. 5.19) und Strukturvielfalt (Ziff. 8).</t>
        </r>
      </text>
    </comment>
    <comment ref="I62" authorId="0" shapeId="0" xr:uid="{DCE270DA-4FB2-4499-AF2F-80FD134901DC}">
      <text>
        <r>
          <rPr>
            <sz val="9"/>
            <color indexed="81"/>
            <rFont val="Segoe UI"/>
            <family val="2"/>
          </rPr>
          <t>Rotationsbrachen zählen automatisch zu den BFF mit Qualität (Ziff. 5.19) und Strukturvielfalt (Ziff. 8)</t>
        </r>
      </text>
    </comment>
    <comment ref="I63" authorId="0" shapeId="0" xr:uid="{21F9385B-035F-4614-A0BC-AB92B6D5ACDD}">
      <text>
        <r>
          <rPr>
            <sz val="9"/>
            <color indexed="81"/>
            <rFont val="Segoe UI"/>
            <family val="2"/>
          </rPr>
          <t>Säume auf Ackerland zählen automatisch zu den BFF mit Qualität (Ziff. 5.19) und Strukturvielfalt (Ziff. 8).</t>
        </r>
      </text>
    </comment>
    <comment ref="I64" authorId="0" shapeId="0" xr:uid="{18329F78-384D-4D35-9FDE-4DB253CC06FB}">
      <text>
        <r>
          <rPr>
            <sz val="9"/>
            <color indexed="81"/>
            <rFont val="Segoe UI"/>
            <family val="2"/>
          </rPr>
          <t>Ackerschonstreifen zählen automatisch zu den BFF mit Qualität (Ziff. 5.19)</t>
        </r>
      </text>
    </comment>
    <comment ref="I66" authorId="0" shapeId="0" xr:uid="{82FBC8BB-9E2D-4EDD-A05F-538C8D83C253}">
      <text>
        <r>
          <rPr>
            <sz val="9"/>
            <color indexed="81"/>
            <rFont val="Segoe UI"/>
            <family val="2"/>
          </rPr>
          <t xml:space="preserve">Mehrjährige Nützlingsstreifen </t>
        </r>
        <r>
          <rPr>
            <b/>
            <sz val="9"/>
            <color indexed="81"/>
            <rFont val="Segoe UI"/>
            <family val="2"/>
          </rPr>
          <t>ab dem zweiten Standjahr</t>
        </r>
        <r>
          <rPr>
            <sz val="9"/>
            <color indexed="81"/>
            <rFont val="Segoe UI"/>
            <family val="2"/>
          </rPr>
          <t xml:space="preserve"> können unter Qualität erfasst werden und haben gleichzeitig Strukturvielfalt. 
Da einjährige Nützlingsstreifen nur 100 Tage stehen bleiben kann keine Strukturvielfalt erfasst werden. </t>
        </r>
      </text>
    </comment>
    <comment ref="G67" authorId="0" shapeId="0" xr:uid="{D3BC22C5-4139-4A26-B46D-DFEA8E77F4A4}">
      <text>
        <r>
          <rPr>
            <sz val="9"/>
            <color indexed="81"/>
            <rFont val="Segoe UI"/>
            <family val="2"/>
          </rPr>
          <t>Erfasst wird hier die Fläche der gesamten Dauerkultur mit Nützlingsstreifen. Das System übernimmt dann automatisch 5 % davon als BFF</t>
        </r>
      </text>
    </comment>
    <comment ref="K68" authorId="0" shapeId="0" xr:uid="{12BB3096-593B-4949-B1EE-CB10431B2498}">
      <text>
        <r>
          <rPr>
            <b/>
            <sz val="9"/>
            <color indexed="81"/>
            <rFont val="Segoe UI"/>
            <family val="2"/>
          </rPr>
          <t xml:space="preserve">Eine Kleinstruktur pro 7 Aren </t>
        </r>
        <r>
          <rPr>
            <sz val="9"/>
            <color indexed="81"/>
            <rFont val="Segoe UI"/>
            <family val="2"/>
          </rPr>
          <t xml:space="preserve">
Beispiel: 40 Aren Hecken-, Feld und Ufergehölze (mit Krautsaum) erfordern 6 Kleinstrukturen.
Als Kleinstrukturen in Hecken-, Feld und Ufergehölzen (mit Krautsaum) (852) gelten: 
• Steinhaufen, Felsen, Ast- und Holzhaufen sowie wasserführende Gräben
• Mindestfläche 2 m², Mindesthöhe 1 m, Mindestbreite 1 m für Felsen und Haufen, 5 m Länge für Gräben
</t>
        </r>
      </text>
    </comment>
    <comment ref="I69" authorId="0" shapeId="0" xr:uid="{2C68847F-BA95-46E1-9C9A-47E10CF63519}">
      <text>
        <r>
          <rPr>
            <b/>
            <sz val="9"/>
            <color indexed="81"/>
            <rFont val="Segoe UI"/>
            <family val="2"/>
          </rPr>
          <t>Simon Birrer:</t>
        </r>
        <r>
          <rPr>
            <sz val="9"/>
            <color indexed="81"/>
            <rFont val="Segoe UI"/>
            <family val="2"/>
          </rPr>
          <t xml:space="preserve">
Streueflächen werden immer als hochwertig taxiert. Deshalb verzichten wir auf eine Eingabe der Streue QII</t>
        </r>
      </text>
    </comment>
    <comment ref="K69" authorId="0" shapeId="0" xr:uid="{E6BA11AE-CD78-4596-975E-D95CA94AA1A4}">
      <text>
        <r>
          <rPr>
            <b/>
            <sz val="9"/>
            <color indexed="81"/>
            <rFont val="Segoe UI"/>
            <family val="2"/>
          </rPr>
          <t>Mind. 10 % Strukturen</t>
        </r>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t>
        </r>
      </text>
    </comment>
    <comment ref="K70" authorId="0" shapeId="0" xr:uid="{02FDE0CF-B3B5-4F0E-B904-482FD19AF730}">
      <text>
        <r>
          <rPr>
            <b/>
            <sz val="9"/>
            <color indexed="81"/>
            <rFont val="Segoe UI"/>
            <family val="2"/>
          </rPr>
          <t>Mind. 10 % Strukturen</t>
        </r>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Bedingung: Der 1. Schnitt findet nach dem zonenabhängigen Schnittzeitpunkt statt.
</t>
        </r>
      </text>
    </comment>
    <comment ref="K71" authorId="0" shapeId="0" xr:uid="{E6EEEDB9-849E-4573-B96C-42DB0AED1054}">
      <text>
        <r>
          <rPr>
            <sz val="9"/>
            <color indexed="81"/>
            <rFont val="Segoe UI"/>
            <family val="2"/>
          </rPr>
          <t xml:space="preserve">
Als Kleinstrukturen gelten: 
Totholz und Streue-Strukturen: 
• Asthaufen, Holzhaufen, Wurzelteller, Streuehaufen, Doppelzaun
• Mindestfläche 2 m², Mindesthöhe 1 m, Mindestbreite 1 m (Doppelzaun: Mindestbreite 0,5 m)
Steinstrukturen, offener Boden: 
• Steinhaufen, Steinlinsen, Felsen: Mindestfläche 2 m², Mindesthöhe 0,5 m
• Sandhaufen, Sandlinsen 2 m², Mindesthöhe 0,5 m
• Natursteinmauern: Mindesthöhe 0,5 m
• Kies-, Ruderfläche, offener Boden: Mindestfläche 4 m²
Feuchtstrukturen
• Teich, Weiher, Temporäre Feucht- und Nassstellen, Tümpel, Gräben, kleine Fliessgewässer
• Mindestfläche 4 m², (Gräben, kleine Fliessgewässer Mindestlänge 5 m und wasserführend)
Gehölzstrukturen
• Einzelbüsche, Gebüschgruppe, Brombeerfluren: Mindestfläche 2 m²
• Kopfbäume, abgestorbene Bäume: mindestens 20 cm Brusthöhendurchmesser,
• Biotopbäume: Brusthöhendurchmesser &gt; 50 cm, Baum weist mindestens eines der folgenden ökologischen Qualitätsmerkmale auf: Stammfäulen (offene Stammwunden, Blitzschäden, je &gt;50 cm), Pilzkonsolen (&gt;20 cm), Krone zu &gt;10 % mit Totholz, Bruthöhlen, Spaltenquartiere (Rindentaschen, Stammrisse je &gt; 50 cm), Horste von Greifvögeln)
Altgrasflächen
• Mindestfläche 10 %
•</t>
        </r>
        <r>
          <rPr>
            <b/>
            <sz val="9"/>
            <color indexed="81"/>
            <rFont val="Segoe UI"/>
            <family val="2"/>
          </rPr>
          <t xml:space="preserve"> Nach dem 31. August verbleibt die Altgrasfläche am gleichen Standort bis zur nächsten Vege-tationsperiode und darf auch nicht beweidet werden. </t>
        </r>
        <r>
          <rPr>
            <sz val="9"/>
            <color indexed="81"/>
            <rFont val="Segoe UI"/>
            <family val="2"/>
          </rPr>
          <t xml:space="preserve">
</t>
        </r>
      </text>
    </comment>
    <comment ref="B77" authorId="0" shapeId="0" xr:uid="{0F1C6E87-9538-4580-B8C7-F374E13BFE1A}">
      <text>
        <r>
          <rPr>
            <sz val="9"/>
            <color indexed="81"/>
            <rFont val="Segoe UI"/>
            <family val="2"/>
          </rPr>
          <t>BFF ohne Bäume müssen mindestens 4.5 % der LN Fläche ausmachen</t>
        </r>
      </text>
    </comment>
    <comment ref="B83" authorId="0" shapeId="0" xr:uid="{E8556A89-FE63-47D2-97A2-ABEFE025536C}">
      <text>
        <r>
          <rPr>
            <sz val="9"/>
            <color indexed="81"/>
            <rFont val="Segoe UI"/>
            <family val="2"/>
          </rPr>
          <t>Die BFF müssen mindestens 9 % der LN ausmachen, wobei für Spezialkulturen nur 5 % BFF benötigt werden</t>
        </r>
      </text>
    </comment>
    <comment ref="B88" authorId="0" shapeId="0" xr:uid="{DEDD2E77-C253-4838-AB78-AA637DF9E799}">
      <text>
        <r>
          <rPr>
            <sz val="9"/>
            <color indexed="81"/>
            <rFont val="Segoe UI"/>
            <family val="2"/>
          </rPr>
          <t>wird berechnet aus: 
Summe von Buntbrachen (556), Rotationsbrachen (557), Säume auf Ackerland (559), Ackerschonstreifen (555) und Nützlingsstreifen (572) plus 5.13.1 Getreide in weiter Reihe (Das System rechnet aber max. 1,75 % der AF an und nur falls mind. 3 ha oAF vorhanden sind.)</t>
        </r>
      </text>
    </comment>
    <comment ref="B91" authorId="0" shapeId="0" xr:uid="{3FCA3517-13A0-44FF-B1E6-0BDF6246675C}">
      <text>
        <r>
          <rPr>
            <sz val="9"/>
            <color indexed="81"/>
            <rFont val="Segoe UI"/>
            <family val="2"/>
          </rPr>
          <t>Zur Erhaltung typischer Arten des Ackerlands ist ein grösserer Anteil von hochwertigen Biodiversitätsförderflächen auf der Ackerfläche notwendig. Dazu zählen Buntbrachen (556), Rotationsbrachen (557), Säume auf Ackerland (559), Ackerschonstreifen (555) und mehrjährige Nützlingsstreifen (572).  (ein- und mehrjährige Nützlingsstreifen unterscheidet das System aufgrund der Angabe als "strukturreich").
 Nicht anrechenbar ist Getreide in weiter Reihe aufgrund des Einsatzes von Pflanzenschutzmittel und/oder Dünger sowie die einjährigen Nützlingsstreifen welche aufgrund der kurzen Anlagedauer von 100 Tagen die wertvolle Struktur über die Wintermonate nicht aufweisen.</t>
        </r>
      </text>
    </comment>
    <comment ref="C101" authorId="0" shapeId="0" xr:uid="{5A40C062-B94F-494B-8E5A-705FDDA499B7}">
      <text>
        <r>
          <rPr>
            <sz val="9"/>
            <color indexed="81"/>
            <rFont val="Segoe UI"/>
            <family val="2"/>
          </rPr>
          <t>Hier sind alle  Biodiversitätsförderflächen BFF inkl. Bäume ( 1 Baum = 1 Are) anzugeben, welche sich in der Bergzone I und II befinden.</t>
        </r>
      </text>
    </comment>
    <comment ref="C102" authorId="0" shapeId="0" xr:uid="{453EC18D-6F17-46E1-BE47-8D5E9A41FE65}">
      <text>
        <r>
          <rPr>
            <sz val="9"/>
            <color indexed="81"/>
            <rFont val="Segoe UI"/>
            <family val="2"/>
          </rPr>
          <t>Hier sind alle  Biodiversitätsförderflächen BFF inkl. Bäume ( 1 Baum = 1 Are) anzugeben, welche sich in der Bergzone III und IV befinden.</t>
        </r>
      </text>
    </comment>
    <comment ref="B104" authorId="0" shapeId="0" xr:uid="{3FA1B1B7-2274-4BBC-9EED-B12BFF5E899E}">
      <text>
        <r>
          <rPr>
            <b/>
            <sz val="9"/>
            <color indexed="81"/>
            <rFont val="Segoe UI"/>
            <family val="2"/>
          </rPr>
          <t>Simon Birrer:</t>
        </r>
        <r>
          <rPr>
            <sz val="9"/>
            <color indexed="81"/>
            <rFont val="Segoe UI"/>
            <family val="2"/>
          </rPr>
          <t xml:space="preserve">
Als grossflächige BFF zählen alle qualitativ wertvollen BFF (Q II, NHG sowie Projektqualität) mit mindestens 25 Aren. Diese Fläche entspricht einer Einheit (Anzahl = 1). 
Grössere Flächen können aus mehreren Einheiten à 25 Aren bestehen: Eine BFF mit Qualität welche 53 Aren gross ist, entspricht 2 Einheiten, eine BFF mit Qualität von 140 Aren entspricht 5 Einheiten usw.</t>
        </r>
      </text>
    </comment>
    <comment ref="B118" authorId="0" shapeId="0" xr:uid="{BB28CC32-3179-47E6-B301-F2FB6C35D6C9}">
      <text>
        <r>
          <rPr>
            <sz val="9"/>
            <color indexed="81"/>
            <rFont val="Segoe UI"/>
            <family val="2"/>
          </rPr>
          <t>Bei der räumlichen Verteilung können alle BFF angegeben werden, welche grösser als 10 Aren sind. Dabei spielt es im Gegensatz zu Punkt 7 keine Rolle, welche Qualitätsstufe die Fläche erreicht. Bei diesem Punkt können die Flächen aber nicht unterteilt werden. Eine BFF von 1,3 ha entspricht also einem Element.</t>
        </r>
      </text>
    </comment>
    <comment ref="C134" authorId="0" shapeId="0" xr:uid="{10534779-E5E3-4AAE-ACF5-9122D175EF95}">
      <text>
        <r>
          <rPr>
            <sz val="9"/>
            <color indexed="81"/>
            <rFont val="Segoe UI"/>
            <family val="2"/>
          </rPr>
          <t xml:space="preserve">• Deklariert wird die gesamte Fläche der Hauptkultur (z.B. Weizen)
• Mindestens 3 Kleinflächen à 3 × 9 m pro Hektare oder ein Streifen à 3 × 25 m (oder 2 × 40 m) 
• Korrekte Anlage beachten: Nicht an Ackerrändern oder Fahrgassen und gleichmässig verteilt
• Die mechanische Unkrautbekämpfung (Striegeln) ist auf den Kleinflächen nicht erlaubt. 
• Kein Einsatz von Herbiziden ab Saat der Hauptkultur (z.B. Weizen)
• Blacken, Ackerkratzdisteln und Winden dürfen von Hand oder chemisch mit der Rückenspritze bekämpft werden 
• Optional: Einsaat der Kleinflächen mit einheimischer Wildkräutermischung (im November bei Winterkulturen oder im Februar/März bei Sommerkulturen)
Details siehe: https://www.ipsuisse.ch  Produktion  Anforderungen  Biodiversität
</t>
        </r>
      </text>
    </comment>
    <comment ref="C136" authorId="0" shapeId="0" xr:uid="{C3010F8F-AF3E-41E4-AEF8-78049DBBEF6F}">
      <text>
        <r>
          <rPr>
            <sz val="9"/>
            <color indexed="81"/>
            <rFont val="Segoe UI"/>
            <family val="2"/>
          </rPr>
          <t>Deklariert wird hier die gesamte Fläche der Hauptkultur welche im Rahmen von kantonalen Vernetzungsprojekten als «regionsspezifische Biodiversitätsförderfläche» angemeldet wurde</t>
        </r>
      </text>
    </comment>
    <comment ref="C138" authorId="0" shapeId="0" xr:uid="{7CCDA50C-B3EF-4091-9D28-47310DE08F11}">
      <text>
        <r>
          <rPr>
            <sz val="9"/>
            <color indexed="81"/>
            <rFont val="Segoe UI"/>
            <family val="2"/>
          </rPr>
          <t>Bei Sommergetreide handelt es sich um Getreide, welches nach dem 15. Februar ausgesät wurd</t>
        </r>
      </text>
    </comment>
    <comment ref="C142" authorId="0" shapeId="0" xr:uid="{B7FEA723-BCB9-4330-B787-DF4526372839}">
      <text>
        <r>
          <rPr>
            <sz val="9"/>
            <color indexed="81"/>
            <rFont val="Segoe UI"/>
            <family val="2"/>
          </rPr>
          <t>Bei Untersaaten im Mais wird zwischen den Reihen eine Mischung mit Klee-Gras eingesät. Der flächige Einsatz von Herbiziden ist nicht erlaubt.</t>
        </r>
      </text>
    </comment>
    <comment ref="C144" authorId="0" shapeId="0" xr:uid="{AD95BB37-9C61-4567-8A67-4B3A2559CDFA}">
      <text>
        <r>
          <rPr>
            <sz val="9"/>
            <color indexed="81"/>
            <rFont val="Segoe UI"/>
            <family val="2"/>
          </rPr>
          <t>Bei Untersaaten in Getreide, Raps und Sonnenblumen wird zwischen den Reihen eine Untersaat-Mischung eingesät.</t>
        </r>
      </text>
    </comment>
    <comment ref="C146" authorId="0" shapeId="0" xr:uid="{B9BC78C7-CA93-40B9-90D5-9F9F9F1BF7BF}">
      <text>
        <r>
          <rPr>
            <sz val="9"/>
            <color indexed="81"/>
            <rFont val="Segoe UI"/>
            <family val="2"/>
          </rPr>
          <t>Um auf einer Buntbrachen (556) unterschiedliche Pflanzenbestände und Strukturvielfalt zu fördern, kann ¼ der Fläche im Herbst (ab. 1. Oktober) mit dem Pflug, Grubber oder einer Egge oberflächlich bearbeitet und im Frühjahr gegebenfalls lückig neu eingesät werden. Über diese Pflegemassnahmen kann die Erneuerung von Buntbrachen gelenkt, sowie eine Vergrasung und Verbuschung verringert werden.
Rotationsbrachen (557) können nicht eingetragen werden, da diese Massnahme bei ihnen wegen ihrer kurzzeitigen Anlage ungeeignet ist.</t>
        </r>
      </text>
    </comment>
    <comment ref="C148" authorId="0" shapeId="0" xr:uid="{9A973470-CB1C-402A-BCDC-EB105D106A77}">
      <text>
        <r>
          <rPr>
            <sz val="9"/>
            <color indexed="81"/>
            <rFont val="Segoe UI"/>
            <family val="2"/>
          </rPr>
          <t xml:space="preserve">Anrechenbar sind alle Ackerkulturen die ohne Wachstumsregulatoren / Phytoregulatoren, Fungizide, Stimulatoren der natürlichen Abwehrkräfte und Insektizide (Anforderungen DZV) angebaut werden. 
Folgende Kulturen können angemeldet werden: Raps, Brotweizen, Hartweizen, Futterweizen, Roggen, Dinkel, Hafer, Gerste, Triticale, Emmer, Einkorn, Kartoffeln, Lein, Zuckerrüben, Sonnenblumen, Freiland-Konservengemüse, Erbsen, Ackerbohnen und Lupinen. Kartoffeln können nicht angemeldet werden.
Die Kulturen sind im Programm «Verzicht auf Pflanzenschutz» (ehemals Extenso) des Bundes angemeldet. Der Bioanbau ist ebenfalls möglich. </t>
        </r>
      </text>
    </comment>
    <comment ref="C150" authorId="0" shapeId="0" xr:uid="{F1B26AF3-4A2E-4897-A985-95A105B77ABB}">
      <text>
        <r>
          <rPr>
            <sz val="9"/>
            <color indexed="81"/>
            <rFont val="Segoe UI"/>
            <family val="2"/>
          </rPr>
          <t xml:space="preserve">Verzicht auf Insektizide im Kartoffelbau (Ausnahme: </t>
        </r>
        <r>
          <rPr>
            <i/>
            <sz val="9"/>
            <color indexed="81"/>
            <rFont val="Segoe UI"/>
            <family val="2"/>
          </rPr>
          <t>Bacillus thuringiensis</t>
        </r>
        <r>
          <rPr>
            <sz val="9"/>
            <color indexed="81"/>
            <rFont val="Segoe UI"/>
            <family val="2"/>
          </rPr>
          <t xml:space="preserve">).
Anrechnebna sind alle Kartoffelkulturen, die ohne insektizide angebaut werden. Zugelassen sind nur Produkte mit dem natürlichen </t>
        </r>
        <r>
          <rPr>
            <i/>
            <sz val="9"/>
            <color indexed="81"/>
            <rFont val="Segoe UI"/>
            <family val="2"/>
          </rPr>
          <t>Bacillus thuriniensis</t>
        </r>
        <r>
          <rPr>
            <sz val="9"/>
            <color indexed="81"/>
            <rFont val="Segoe UI"/>
            <family val="2"/>
          </rPr>
          <t xml:space="preserve">gegen Kartoffelkäfer (analog den Produktisonssysembeiträgen Ackerbau des Bundes). Der Bioanbau ist ebenfalls möglich.
</t>
        </r>
      </text>
    </comment>
    <comment ref="C152" authorId="0" shapeId="0" xr:uid="{A976075A-0AD2-4E55-9C5E-CAA3993DA4B2}">
      <text>
        <r>
          <rPr>
            <sz val="9"/>
            <color indexed="81"/>
            <rFont val="Segoe UI"/>
            <family val="2"/>
          </rPr>
          <t>Anrechenbar sind alle Kartoffelkulturen, die ohne Insektizide angebaut werden. Zugelassen sind nur Produkte mit dem natürlichen Bacillus thuringiensis gegen Kartoffelkäfer (analog den Produktionssystembeiträge Ackerbau des Bundes). Der Bioanbau ist ebenfalls möglich</t>
        </r>
      </text>
    </comment>
    <comment ref="C154" authorId="0" shapeId="0" xr:uid="{4C3FF473-E088-4108-AD9F-D68615BAC332}">
      <text>
        <r>
          <rPr>
            <sz val="9"/>
            <color indexed="81"/>
            <rFont val="Segoe UI"/>
            <family val="2"/>
          </rPr>
          <t>Anrechenbar ist die Fläche aller Ackerkulturen, die in den Bergzonen I, II, III und IV angebaut werden.</t>
        </r>
      </text>
    </comment>
    <comment ref="C169" authorId="0" shapeId="0" xr:uid="{E0994FD7-EB43-48B9-A24D-976045CAC8C8}">
      <text>
        <r>
          <rPr>
            <sz val="9"/>
            <color indexed="81"/>
            <rFont val="Segoe UI"/>
            <family val="2"/>
          </rPr>
          <t xml:space="preserve">Eine gestaffelte Wiesennutzung mit Schnittzeitpunkt vor dem DZV-Schnittzeitpunkt ist nur auf Flächen möglich, für welche eine solche Massnahme in einem Vernetzungsprojekt oder in einem Naturschutzvertrag festgehalten sind. Die Abweichung vom Schnittzeitpunkt muss schriftlich vereinbart werden. 
Altgrasflächen
• Mindestfläche 10 %
• Nach dem 31. August verbleibt die Altgrasfläche am gleichen Standort bis zur nächsten Vegetationsperiode und darf auch nicht beweidet werden. </t>
        </r>
      </text>
    </comment>
    <comment ref="C180" authorId="0" shapeId="0" xr:uid="{DAB10EF3-9AB5-40BD-99EE-7088A7F0F36E}">
      <text>
        <r>
          <rPr>
            <sz val="9"/>
            <color indexed="81"/>
            <rFont val="Segoe UI"/>
            <family val="2"/>
          </rPr>
          <t>Anrechenbar sind die Fläche von Dauerwiesen und Kunstwiesen, die bei jedem Schnitt unter Verzicht eines Aufbereiters (Quetscher, Knicker etc.) gemäht werden.</t>
        </r>
      </text>
    </comment>
    <comment ref="B197" authorId="0" shapeId="0" xr:uid="{3E6B2DE7-1909-44BC-A960-45D0D8B1D404}">
      <text>
        <r>
          <rPr>
            <sz val="9"/>
            <color indexed="81"/>
            <rFont val="Segoe UI"/>
            <family val="2"/>
          </rPr>
          <t xml:space="preserve">Ein aufgewerteter Waldrand ist ein Waldrand, der in Zusammenarbeit mit dem Förster aufgewertet wird. Der Förster muss für die entsprechenden Laufmeter eine Bestätigung ausstellen. Diese Massnahme ist die einzige, welche nicht auf der LN des Betriebes umgesetzt werden kann. Die Person, welche Punkte geltend machen will, muss nachweisen, dass sie den Waldrand bewirt-schaftet (im Eigentum oder im Bewirtschaftungsverhältnis). Ein Muster für eine Bestätigung finden Sie unter Waldrand.pdf.
Nachfolgende Pflegeeingriffe (alle 4 bis 6 Jahre) sind zwingend, um den gestuften Waldrand zu erhalten und werden im Punktesystem erfasst. Erfolgt kein Pflegeeingriff innert sieben Jahren so wird die Punktzahl gelöscht.
</t>
        </r>
      </text>
    </comment>
    <comment ref="G198" authorId="0" shapeId="0" xr:uid="{177E718F-93F7-4183-AB97-DDD38EB183DA}">
      <text>
        <r>
          <rPr>
            <sz val="9"/>
            <color indexed="81"/>
            <rFont val="Segoe UI"/>
            <family val="2"/>
          </rPr>
          <t>Länge des aufgewerteten Abschnittes in Metern</t>
        </r>
      </text>
    </comment>
    <comment ref="K198" authorId="0" shapeId="0" xr:uid="{30A73789-B22D-4B3C-94CD-50D91C7EEE30}">
      <text>
        <r>
          <rPr>
            <sz val="9"/>
            <color indexed="81"/>
            <rFont val="Segoe UI"/>
            <family val="2"/>
          </rPr>
          <t>Länge des aufgewerteten Abschnittes in Metern</t>
        </r>
      </text>
    </comment>
    <comment ref="C205" authorId="0" shapeId="0" xr:uid="{AAA8D870-A2CA-4DDD-9A14-7EB07B04B8FB}">
      <text>
        <r>
          <rPr>
            <sz val="9"/>
            <color indexed="81"/>
            <rFont val="Segoe UI"/>
            <family val="2"/>
          </rPr>
          <t xml:space="preserve">Alle Feldränder im Ackerbau dürfen ganzjährig nicht gemulcht werden. </t>
        </r>
      </text>
    </comment>
    <comment ref="C208" authorId="0" shapeId="0" xr:uid="{DAF6FF21-5B95-4C2E-BD7A-33EFE5F48962}">
      <text>
        <r>
          <rPr>
            <sz val="9"/>
            <color indexed="81"/>
            <rFont val="Segoe UI"/>
            <family val="2"/>
          </rPr>
          <t xml:space="preserve">Betriebe, die regionaltypische, vor dem Verschwinden bedrohte Tierrassen halten tragen hier die Anzahl Herdebuchtiere der betreffenden Tierrassen ein.
Welche Tierrassen als bedroht gelten, finden Sie hier: https://www.ipsuisse.ch -&gt; Produktion -&gt; Anforderungen -&gt; Biodiversität
</t>
        </r>
      </text>
    </comment>
    <comment ref="C210" authorId="0" shapeId="0" xr:uid="{D9A60231-5FAD-433A-9CF2-2BC926055197}">
      <text>
        <r>
          <rPr>
            <sz val="9"/>
            <color indexed="81"/>
            <rFont val="Segoe UI"/>
            <family val="2"/>
          </rPr>
          <t>Es gelten Sorten Es ist die Anzahl Hochstammbäume, respektive die Fläche in Aren anzugeben. Der Landwirt hat eine entsprechende Liste mit Angabe der Obstsorten oder Angabe der Pflanzensorten vorzulegen. Die Listen mit den anrechenbaren Sorten finden Sie unter https://www.ipsuisse.ch -&gt; Anforderungen -&gt; Biodiversität
-&gt; Alte Getreidesorten
-&gt; Alte Kartoffelsorten
-&gt; Alte Obstsorten (Fructus)
Alte Sorten auf Niederstamm-Anlagen sind nicht anrechenbar. Wildobstarten gelten nicht als alte Obstsorten und werden hier nicht berücksichtigt.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Simon Birrer</author>
    <author>tc={ABDA8450-5BA7-4CE5-92D9-A5ADE76242A9}</author>
  </authors>
  <commentList>
    <comment ref="C16" authorId="0" shapeId="0" xr:uid="{8389B62F-8991-4504-A9E0-76FA2AA004CB}">
      <text>
        <r>
          <rPr>
            <sz val="9"/>
            <color indexed="81"/>
            <rFont val="Segoe UI"/>
            <family val="2"/>
          </rPr>
          <t>(weitere Gemüsekulturen möglich)
Achtung: Spe8-Auflagen beachten!</t>
        </r>
      </text>
    </comment>
    <comment ref="C20" authorId="0" shapeId="0" xr:uid="{12F57482-6159-436D-8C2D-B139CB347FBD}">
      <text>
        <r>
          <rPr>
            <sz val="9"/>
            <color indexed="81"/>
            <rFont val="Segoe UI"/>
            <family val="2"/>
          </rPr>
          <t>gemäss Leitfaden
Achtung: Spe8-Auflagen beachten!</t>
        </r>
      </text>
    </comment>
    <comment ref="C54" authorId="0" shapeId="0" xr:uid="{5F9A5A35-8967-400D-8653-4D6D80C4DFEB}">
      <text>
        <r>
          <rPr>
            <sz val="9"/>
            <color indexed="81"/>
            <rFont val="Segoe UI"/>
            <family val="2"/>
          </rPr>
          <t>Achtung: Spe8-Auflagen beachten!</t>
        </r>
      </text>
    </comment>
    <comment ref="C57" authorId="0" shapeId="0" xr:uid="{68F8B326-FA00-4295-A9CB-8A54A74FF00E}">
      <text>
        <r>
          <rPr>
            <sz val="9"/>
            <color indexed="81"/>
            <rFont val="Segoe UI"/>
            <family val="2"/>
          </rPr>
          <t>Bandspritzung oder Spotspraying erlaubt</t>
        </r>
      </text>
    </comment>
    <comment ref="C62" authorId="1" shapeId="0" xr:uid="{ABDA8450-5BA7-4CE5-92D9-A5ADE76242A9}">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Hier gibt es 2 x C13: einmal Verzicht und 1x vollständiger Verzicht… (gemäss Version 27.6.25) - stimmt das? Nummerierung?</t>
      </text>
    </comment>
    <comment ref="C66" authorId="0" shapeId="0" xr:uid="{E6E652EB-801F-43CF-AFBE-159E67D97A0C}">
      <text>
        <r>
          <rPr>
            <sz val="9"/>
            <color indexed="81"/>
            <rFont val="Segoe UI"/>
            <family val="2"/>
          </rPr>
          <t>Mikroorganismen und natürliche Wirkstoffe [ohne die Wirkstoffe Spinosad und Pyretrhum] sind erlaubt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Simon Birrer</author>
  </authors>
  <commentList>
    <comment ref="C5" authorId="0" shapeId="0" xr:uid="{F041ECA7-0FEB-471F-91E3-67C4F08779E2}">
      <text>
        <r>
          <rPr>
            <sz val="9"/>
            <color indexed="81"/>
            <rFont val="Segoe UI"/>
            <family val="2"/>
          </rPr>
          <t>Die anrechenbare Rebfläche stimmt mit der Fläche überein, die für den Produktionssystembeitrag „Verzicht auf Herbizide in Dauerkulturen“ gem. DZV gemeldet ist.
Anforderungen der DZV sind erfüllt.</t>
        </r>
      </text>
    </comment>
    <comment ref="C9" authorId="0" shapeId="0" xr:uid="{221B3721-4EF9-4897-A513-E62A74719537}">
      <text>
        <r>
          <rPr>
            <sz val="9"/>
            <color indexed="81"/>
            <rFont val="Segoe UI"/>
            <family val="2"/>
          </rPr>
          <t xml:space="preserve">Der Betrieb ist beim gleichnamigen Produktionssystembeitrag gem. DZV gemeldet.
Anforderungen der DZV sind im Rebbau erfüllt. Gem. DZV muss jede Rebfläche des Betriebs zu mindestens 70 % begrünt sein, mit Ausnahme von Jungreben bis zum dritten Jahr nach der Anpflanzung.
Muss ganzjährig und gesamtbetrieblich eingehalten werden.
</t>
        </r>
      </text>
    </comment>
    <comment ref="C13" authorId="0" shapeId="0" xr:uid="{4EAF1365-FBE6-436F-BFB9-DC87216D7A3F}">
      <text>
        <r>
          <rPr>
            <sz val="9"/>
            <color indexed="81"/>
            <rFont val="Segoe UI"/>
            <family val="2"/>
          </rPr>
          <t xml:space="preserve">Die anrechenbare Rebfläche stimmt mit der Fläche überein, die für den gleichnamigen Produktionssystembeitrag gem. DZV gemeldet ist.
Anforderungen gem. DZV sind erfüllt.
Punkte können nicht mit der Massnahme „Bewirtschaftung der Rebfläche mit Hilfsmitteln nach der biologischen Landwirtschaft“ kumuliert werden.
</t>
        </r>
      </text>
    </comment>
    <comment ref="C17" authorId="0" shapeId="0" xr:uid="{D2DCC431-FDB1-4165-B557-7E2ADCBD9E81}">
      <text>
        <r>
          <rPr>
            <sz val="9"/>
            <color indexed="81"/>
            <rFont val="Segoe UI"/>
            <family val="2"/>
          </rPr>
          <t xml:space="preserve">Die anrechenbare Rebfläche stimmt mit der Fläche überein, die für den gleichnamigen Produktionssystembeitrag gem. DZV gemeldet ist.
Anforderungen gem. DZV sind erfüllt.
Punkte können nicht mit der Massnahme „Verzicht auf Insektizide, Akarizide und Fungizide nach der Blüte in der Rebfläche“ kumuliert werden.
</t>
        </r>
      </text>
    </comment>
    <comment ref="C21" authorId="0" shapeId="0" xr:uid="{B5BA9A41-490C-4718-86BB-270270C6C1A9}">
      <text>
        <r>
          <rPr>
            <sz val="9"/>
            <color indexed="81"/>
            <rFont val="Segoe UI"/>
            <family val="2"/>
          </rPr>
          <t>Die angegebene Fläche ist mit Rebsorten die im Kreisschreiben betreffend Massnahmen zur Strukturverbesserung bestockt.</t>
        </r>
      </text>
    </comment>
    <comment ref="C24" authorId="0" shapeId="0" xr:uid="{8D848140-94D9-4271-A5C2-F1307E010038}">
      <text>
        <r>
          <rPr>
            <sz val="9"/>
            <color indexed="81"/>
            <rFont val="Segoe UI"/>
            <family val="2"/>
          </rPr>
          <t xml:space="preserve">Auf der anrechenbaren Rebfläche muss im Sommerhalbjahr (1. Apr. – 31. Aug.) 1/3 bis 2/3 des Bodens unbedeckt werden.
Die anrechenbare Rebfläche darf Einzelparzellen, Teilflächen von Parzellen und/oder mehrere angrenzende Parzellen umfassen.
Unbedeckter Boden darf durch Spaten, Hacken oder einer Herbizidbehandlung erreicht werden. Auch vorhandene Lücken in der natürlichen Vegetation zählen dazu.
In Rebflächen mit natürlicher Artenvielfalt (717) müssen die Anforderungen der DZV eingehalten werden.
Bei starkem Bewuchs kann es erforderlich werden, den Boden oberflächlich zu bearbeiten. Erosionsrisiko ist zu berücksichtigen. Falls Zwiebelpflanzen vorkommen, sollte die Bodenbearbeitung erst ab Mitte Mai erfolgen.
Die Massnahme «Angemessene Bedeckung des Bodens im Rebbau» der Produktionssystembeiträge (PSB) kann kompatibel sein, wenn die Begrünung in den Fahrgassen ausreichend lückig ist und Bereiche mit unbedecktem Boden aufweist.
</t>
        </r>
      </text>
    </comment>
  </commentList>
</comments>
</file>

<file path=xl/sharedStrings.xml><?xml version="1.0" encoding="utf-8"?>
<sst xmlns="http://schemas.openxmlformats.org/spreadsheetml/2006/main" count="966" uniqueCount="483">
  <si>
    <t>DGVE/ha</t>
  </si>
  <si>
    <t>durchschnittliche Grösse</t>
  </si>
  <si>
    <t>è</t>
  </si>
  <si>
    <t>der LN</t>
  </si>
  <si>
    <t>Gesamtpunktzahl</t>
  </si>
  <si>
    <t>Gesamtpunktzahl:</t>
  </si>
  <si>
    <t>DGVE/ha:</t>
  </si>
  <si>
    <t>Nutzungstypen</t>
  </si>
  <si>
    <t>% der LN:</t>
  </si>
  <si>
    <t>Punkte</t>
  </si>
  <si>
    <t>1 Pkt.</t>
  </si>
  <si>
    <t>2 Pkt.</t>
  </si>
  <si>
    <t>3 Pkt.</t>
  </si>
  <si>
    <t>4 Pkt.</t>
  </si>
  <si>
    <t>5 Pkt.</t>
  </si>
  <si>
    <t>Einheit</t>
  </si>
  <si>
    <t>0.5 Pkt.</t>
  </si>
  <si>
    <t>1.5 Pkt.</t>
  </si>
  <si>
    <t>6 Pkt.</t>
  </si>
  <si>
    <t>Punkte gemäss gutachterlicher Bewertung der Berater</t>
  </si>
  <si>
    <t>m</t>
  </si>
  <si>
    <t>Teilpunkte bezogen auf LN</t>
  </si>
  <si>
    <t>DGVE total</t>
  </si>
  <si>
    <t>angemeldet</t>
  </si>
  <si>
    <t>in % der LN</t>
  </si>
  <si>
    <t>1.1.1</t>
  </si>
  <si>
    <t>1.1.2</t>
  </si>
  <si>
    <t>1.1.3</t>
  </si>
  <si>
    <t>Landwirtschaftlich Nutzfläche, davon:</t>
  </si>
  <si>
    <t>Dauergrünland</t>
  </si>
  <si>
    <t>offene Ackerfläche</t>
  </si>
  <si>
    <t>1.1.4</t>
  </si>
  <si>
    <t>Betriebsgrösse</t>
  </si>
  <si>
    <t>Viehbesatz</t>
  </si>
  <si>
    <t>5.10</t>
  </si>
  <si>
    <t>% auf Ackerflächen</t>
  </si>
  <si>
    <t>5.15.1</t>
  </si>
  <si>
    <t>% auf Dauergrünland/Streueflächen</t>
  </si>
  <si>
    <t>5.16.1</t>
  </si>
  <si>
    <t>Anbau Sommergetreide</t>
  </si>
  <si>
    <t>vom Dauergrünland &amp; Streuefläche</t>
  </si>
  <si>
    <t>%</t>
  </si>
  <si>
    <t>der offenen Ackerflächen</t>
  </si>
  <si>
    <t>12.1.1</t>
  </si>
  <si>
    <t>12.1.2</t>
  </si>
  <si>
    <t>des Intensivgrünlands</t>
  </si>
  <si>
    <t>Einsatz Balkenmäher</t>
  </si>
  <si>
    <t>Massnahmen auf Ackerflächen</t>
  </si>
  <si>
    <t xml:space="preserve">Verzicht auf Silage </t>
  </si>
  <si>
    <t>Düngung des intensiv genutzten Grünlands nur mit organischem Dünger</t>
  </si>
  <si>
    <t>offene Ackerfläche an LN:</t>
  </si>
  <si>
    <t>Anteil Grünland&amp;Streuefläche an LN:</t>
  </si>
  <si>
    <t>Genetische Vielfalt</t>
  </si>
  <si>
    <t>1.2</t>
  </si>
  <si>
    <t>LN in Tal- und Hügelzone</t>
  </si>
  <si>
    <t>1.2.1</t>
  </si>
  <si>
    <t>1.2.2</t>
  </si>
  <si>
    <t>6.1.1</t>
  </si>
  <si>
    <t>6.1.2</t>
  </si>
  <si>
    <t xml:space="preserve">% </t>
  </si>
  <si>
    <t>pro 20 ha</t>
  </si>
  <si>
    <t>Bäume als Fläche</t>
  </si>
  <si>
    <t>Fragebogen für Betriebe im Talgebiet (Tal- und Hügelzone)</t>
  </si>
  <si>
    <r>
      <t xml:space="preserve">Massnahmen im intensiv genutzten Grünland </t>
    </r>
    <r>
      <rPr>
        <sz val="11"/>
        <rFont val="Arial Narrow"/>
        <family val="2"/>
      </rPr>
      <t>(Dauergrünland, Kunstwiesen)</t>
    </r>
  </si>
  <si>
    <t>Talgebiet (Tal- und Hügelzone)</t>
  </si>
  <si>
    <t>10.8</t>
  </si>
  <si>
    <t>Grünland</t>
  </si>
  <si>
    <t>A. Angaben zum Betrieb</t>
  </si>
  <si>
    <t>B. Biodiversität</t>
  </si>
  <si>
    <t>Aufwertungsmassnahmen auf Produktionsflächen</t>
  </si>
  <si>
    <t>Punktesystem – Förderung der Nachhaltigkeit (Biodiversität, Ressourcenschutz) auf Landwirtschaftsbetrieben</t>
  </si>
  <si>
    <t>Summe</t>
  </si>
  <si>
    <r>
      <t>Punkte offene Ackerfläche</t>
    </r>
    <r>
      <rPr>
        <sz val="11"/>
        <rFont val="Arial Narrow"/>
        <family val="2"/>
      </rPr>
      <t xml:space="preserve"> (mit Anteil Ackerfläche gewichtet)</t>
    </r>
  </si>
  <si>
    <r>
      <t>Punkte Grünland</t>
    </r>
    <r>
      <rPr>
        <b/>
        <sz val="11"/>
        <rFont val="Arial Narrow"/>
        <family val="2"/>
      </rPr>
      <t xml:space="preserve"> </t>
    </r>
    <r>
      <rPr>
        <sz val="11"/>
        <rFont val="Arial Narrow"/>
        <family val="2"/>
      </rPr>
      <t>(mit Anteil Grünland gewichtet )</t>
    </r>
  </si>
  <si>
    <t>Gesamtpunkte:</t>
  </si>
  <si>
    <t>offene Bodenstellen, Infrarot-Retter, Amphibienzäune usw.</t>
  </si>
  <si>
    <t>z.B. Wässermatten, Benjeshecke, Streifenmahd, Tümpel, Teiche,Trockenmauern, Nistkästen,</t>
  </si>
  <si>
    <t>Typ</t>
  </si>
  <si>
    <t>8.1</t>
  </si>
  <si>
    <t>1. Grenze</t>
  </si>
  <si>
    <t>1. Wert</t>
  </si>
  <si>
    <t>2. Grenze</t>
  </si>
  <si>
    <t>2. Wert</t>
  </si>
  <si>
    <t>3. Grenze</t>
  </si>
  <si>
    <t>3. Wert</t>
  </si>
  <si>
    <t>4. Grenze</t>
  </si>
  <si>
    <t>4. Wert</t>
  </si>
  <si>
    <t>5. Grenze</t>
  </si>
  <si>
    <t>5. Wert</t>
  </si>
  <si>
    <t>6. Grenze</t>
  </si>
  <si>
    <t>6. Wert</t>
  </si>
  <si>
    <t>Zielpunkte</t>
  </si>
  <si>
    <t>Grundbedingung</t>
  </si>
  <si>
    <t>Teilsumme Aufwertungsmassnahmen Grünland/Streuefläche</t>
  </si>
  <si>
    <t>Strukturvielfalt</t>
  </si>
  <si>
    <t>Anzahl</t>
  </si>
  <si>
    <t>5.17.1</t>
  </si>
  <si>
    <r>
      <t xml:space="preserve">Massnahmen im extensiv genutzten Grünland </t>
    </r>
    <r>
      <rPr>
        <sz val="11"/>
        <rFont val="Arial Narrow"/>
        <family val="2"/>
      </rPr>
      <t>(ext. Weide, ext. Wiese, wenig int. Wiese, Streuefläche)</t>
    </r>
  </si>
  <si>
    <t>Verzicht auf Mähaufbereiter</t>
  </si>
  <si>
    <t xml:space="preserve">welche Nutzungstypen nehmen mind. 8% der LN auf dem Betrieb ein?  </t>
  </si>
  <si>
    <t xml:space="preserve">intensiv genutzes Grünland </t>
  </si>
  <si>
    <t>ha</t>
  </si>
  <si>
    <t>Typen</t>
  </si>
  <si>
    <t>Name, Vorname:</t>
  </si>
  <si>
    <t>PLZ:</t>
  </si>
  <si>
    <t>Ort:</t>
  </si>
  <si>
    <t>Telefon:</t>
  </si>
  <si>
    <t>Betriebsnummer:</t>
  </si>
  <si>
    <t>IPS-Nummer:</t>
  </si>
  <si>
    <t>eMail:</t>
  </si>
  <si>
    <t>Adresse:</t>
  </si>
  <si>
    <t>Bemerkungen:</t>
  </si>
  <si>
    <t xml:space="preserve"> </t>
  </si>
  <si>
    <t>LN in Bergzone I und BZ II</t>
  </si>
  <si>
    <t>LN in Bergzone III und BZ IV</t>
  </si>
  <si>
    <t>1.1.5</t>
  </si>
  <si>
    <t>Anzahl auf dem Hof gehaltene Bienenvölker</t>
  </si>
  <si>
    <t xml:space="preserve">Total BFF ohne Bäume  </t>
  </si>
  <si>
    <t xml:space="preserve">Total BFF inkl. Bäume  </t>
  </si>
  <si>
    <t xml:space="preserve">BFF auf Dauergrünland/Streueflächen   </t>
  </si>
  <si>
    <t>BFF in der Tal-/Hügelzone</t>
  </si>
  <si>
    <r>
      <t xml:space="preserve">Biodiversitätsförderflächen </t>
    </r>
    <r>
      <rPr>
        <sz val="11"/>
        <rFont val="Arial Narrow"/>
        <family val="2"/>
      </rPr>
      <t>(BFF)</t>
    </r>
  </si>
  <si>
    <t>Biodiversitätsförderung</t>
  </si>
  <si>
    <t xml:space="preserve">BFF mit Strukturvielfalt </t>
  </si>
  <si>
    <r>
      <t xml:space="preserve">Anzahl BFF </t>
    </r>
    <r>
      <rPr>
        <b/>
        <sz val="11"/>
        <rFont val="Arial Narrow"/>
        <family val="2"/>
      </rPr>
      <t>&gt;10 a</t>
    </r>
    <r>
      <rPr>
        <sz val="11"/>
        <rFont val="Arial Narrow"/>
        <family val="2"/>
      </rPr>
      <t xml:space="preserve"> der Typen</t>
    </r>
    <r>
      <rPr>
        <b/>
        <sz val="11"/>
        <rFont val="Arial Narrow"/>
        <family val="2"/>
      </rPr>
      <t xml:space="preserve"> Bunt-, Rotationsbrache, Saum oder Ackerschonstreifen</t>
    </r>
  </si>
  <si>
    <r>
      <t xml:space="preserve">Anzahl BFF </t>
    </r>
    <r>
      <rPr>
        <b/>
        <sz val="11"/>
        <rFont val="Arial Narrow"/>
        <family val="2"/>
      </rPr>
      <t>&gt;10 a</t>
    </r>
    <r>
      <rPr>
        <sz val="11"/>
        <rFont val="Arial Narrow"/>
        <family val="2"/>
      </rPr>
      <t xml:space="preserve"> der Typen </t>
    </r>
    <r>
      <rPr>
        <b/>
        <sz val="11"/>
        <rFont val="Arial Narrow"/>
        <family val="2"/>
      </rPr>
      <t>extensiv / wenig int. Wiesen / Weiden, Hecken oder Streuefl.</t>
    </r>
  </si>
  <si>
    <t>BFF bezogen auf 20 ha Grün- und Streueland</t>
  </si>
  <si>
    <t>Punkte Betrieb und Biodiversitätsförderung</t>
  </si>
  <si>
    <t>Qualität II</t>
  </si>
  <si>
    <t>Kunstwiesen (601)</t>
  </si>
  <si>
    <t>davon</t>
  </si>
  <si>
    <t>extensive Wiesen (611)</t>
  </si>
  <si>
    <t>5.8.1</t>
  </si>
  <si>
    <t>wenig intensive Wiesen (612)</t>
  </si>
  <si>
    <t>extensive Weide (617) und Waldw.</t>
  </si>
  <si>
    <t>Buntbrachen (556)</t>
  </si>
  <si>
    <t>Rotationsbrachen (557)</t>
  </si>
  <si>
    <t>Nützlingsstreifen in Dauerkulturen</t>
  </si>
  <si>
    <t>Hecken, Feld- und Ufergehölze (582, 585)</t>
  </si>
  <si>
    <t>Streueflächen (851)</t>
  </si>
  <si>
    <t>Rebflächen mit natürlicher Artenvielfalt (717)</t>
  </si>
  <si>
    <t>übrige Typen (904, 905)</t>
  </si>
  <si>
    <t>Getreide in weiter Reihe</t>
  </si>
  <si>
    <t>Bäume als BFF (921, 924)</t>
  </si>
  <si>
    <t>Nützlingsstreifen (572)</t>
  </si>
  <si>
    <r>
      <t xml:space="preserve">gelbe Felder: bitte ausfüllen; </t>
    </r>
    <r>
      <rPr>
        <b/>
        <sz val="10"/>
        <rFont val="Arial Narrow"/>
        <family val="2"/>
      </rPr>
      <t>fett:</t>
    </r>
    <r>
      <rPr>
        <sz val="10"/>
        <rFont val="Arial Narrow"/>
        <family val="2"/>
      </rPr>
      <t xml:space="preserve"> anzustrebende Werte</t>
    </r>
  </si>
  <si>
    <t xml:space="preserve">Nutzungsparzellen </t>
  </si>
  <si>
    <t>Anzahl Nutzungsparzellen (ohne BFF)</t>
  </si>
  <si>
    <t>Total BFF mit Strukturvielfalt</t>
  </si>
  <si>
    <t>grossflächige BFF pro 20 ha Ackerfläche</t>
  </si>
  <si>
    <t>grossflächige BFF pro 20 ha Dauergrünland oder Streueflächen</t>
  </si>
  <si>
    <t>räumliche Verteilung der BFF</t>
  </si>
  <si>
    <t>GVE/ha</t>
  </si>
  <si>
    <t xml:space="preserve">davon mit </t>
  </si>
  <si>
    <t>5.15</t>
  </si>
  <si>
    <t>5.18.1</t>
  </si>
  <si>
    <t>5.19.1</t>
  </si>
  <si>
    <t>5.17.2</t>
  </si>
  <si>
    <t>BFF auf Acker in IPS-Qualität</t>
  </si>
  <si>
    <t>5.17.3</t>
  </si>
  <si>
    <t>Version 2023/1</t>
  </si>
  <si>
    <t>BFF auf Ackerflächen  gemäss DZV</t>
  </si>
  <si>
    <t>Kleinflächen / Patches auf Getreide, Raps, Sonnenblumen oder Mais</t>
  </si>
  <si>
    <t>Buntbrachenmanagement</t>
  </si>
  <si>
    <t>12.1.3</t>
  </si>
  <si>
    <t>Weitere Massnahmen zur Förderung der Biodiversität</t>
  </si>
  <si>
    <t>Punkte weitere Massnahmen zur Förderung der Biodiversität</t>
  </si>
  <si>
    <t>Waldrand und Feldrandbewirtschaftung</t>
  </si>
  <si>
    <t xml:space="preserve">Waldrand aufgewertet </t>
  </si>
  <si>
    <t>Jahr</t>
  </si>
  <si>
    <t>Länge Total:</t>
  </si>
  <si>
    <t>Länge</t>
  </si>
  <si>
    <t>Feldrand</t>
  </si>
  <si>
    <t>Feldrandbewirtschaftung ohne Mulchen</t>
  </si>
  <si>
    <t>Tiere aus Rassen gemäss Liste Pro Specia Rara</t>
  </si>
  <si>
    <t>Nutzpflanzen gemäss Liste</t>
  </si>
  <si>
    <t>Massnahmen für Zielarten</t>
  </si>
  <si>
    <t>BFF in der BZ I oder BZ II</t>
  </si>
  <si>
    <t>BFF in der BZ III oder BZ IV</t>
  </si>
  <si>
    <t>BFF auf 20 ha Ackerfläche</t>
  </si>
  <si>
    <t>Teilsumme Aufwertungsmassnahmen auf offener Ackerfläche</t>
  </si>
  <si>
    <t>Mais mit Klee/Gras-Untersaat</t>
  </si>
  <si>
    <t>überwinternde Gründüngung bis 15. Februar</t>
  </si>
  <si>
    <t>Untersaaten in Getreide, Raps, Sonnenblumen</t>
  </si>
  <si>
    <t>Vollständiger Verzicht auf Herbizide im Ackerbau</t>
  </si>
  <si>
    <t xml:space="preserve">Gestaffelte Wiesennutzung </t>
  </si>
  <si>
    <t xml:space="preserve">Extensiv gemutzes Grünland in Hochstammobstgärten  </t>
  </si>
  <si>
    <t>Genereller Verzicht auf Mähaufbereiter</t>
  </si>
  <si>
    <t>Zielwert: 15 Punkte</t>
  </si>
  <si>
    <t>Ackerschonstreifen</t>
  </si>
  <si>
    <t>10.1.1</t>
  </si>
  <si>
    <t>Säume auf Ackerfläche (559)</t>
  </si>
  <si>
    <t>Dauergrünland_plus_Streuefläche_Tal</t>
  </si>
  <si>
    <t>davon mehrjährige</t>
  </si>
  <si>
    <t>Total hochwertige BFF in IPS-Qualität</t>
  </si>
  <si>
    <r>
      <t xml:space="preserve">Anzahl Flächen </t>
    </r>
    <r>
      <rPr>
        <b/>
        <sz val="11"/>
        <rFont val="Arial Narrow"/>
        <family val="2"/>
      </rPr>
      <t>&gt; 25 a</t>
    </r>
    <r>
      <rPr>
        <sz val="11"/>
        <rFont val="Arial Narrow"/>
        <family val="2"/>
      </rPr>
      <t xml:space="preserve"> der Typen BB, RB und Saum</t>
    </r>
  </si>
  <si>
    <r>
      <t xml:space="preserve">Anzahl Flächen </t>
    </r>
    <r>
      <rPr>
        <b/>
        <sz val="11"/>
        <rFont val="Arial Narrow"/>
        <family val="2"/>
      </rPr>
      <t>&gt; 25 a</t>
    </r>
    <r>
      <rPr>
        <sz val="11"/>
        <rFont val="Arial Narrow"/>
        <family val="2"/>
      </rPr>
      <t xml:space="preserve"> mit IPS-</t>
    </r>
    <r>
      <rPr>
        <b/>
        <sz val="11"/>
        <rFont val="Arial Narrow"/>
        <family val="2"/>
      </rPr>
      <t>Qualität</t>
    </r>
    <r>
      <rPr>
        <sz val="11"/>
        <rFont val="Arial Narrow"/>
        <family val="2"/>
      </rPr>
      <t xml:space="preserve"> der Typen exWi, wiWi, exWeide, Hecke oder Streue</t>
    </r>
  </si>
  <si>
    <t>Grossflächige BFF in IPSQualität</t>
  </si>
  <si>
    <t>linear</t>
  </si>
  <si>
    <t>linear!</t>
  </si>
  <si>
    <t>10.7.1</t>
  </si>
  <si>
    <t>Minimaler Anteil BFF</t>
  </si>
  <si>
    <t>Teilsumme Aufwertungsmassnahmen auf Rebflächen</t>
  </si>
  <si>
    <t>1.1</t>
  </si>
  <si>
    <t xml:space="preserve">Anrechenbare Punkte für IP-SUISSE Biodiverstitätpunktesystem </t>
  </si>
  <si>
    <t>50 m²</t>
  </si>
  <si>
    <t>Durchmischung von Nutz- und Zierpflanzen</t>
  </si>
  <si>
    <t>2.8.1</t>
  </si>
  <si>
    <t xml:space="preserve">Vielfältiger Bauerngarten </t>
  </si>
  <si>
    <t>6 m²</t>
  </si>
  <si>
    <t>Weidenhaus, Weidenpavillon, Weidentunnel</t>
  </si>
  <si>
    <t>2.7.6</t>
  </si>
  <si>
    <t>10 Laufmeter</t>
  </si>
  <si>
    <t>Weidenzaun, Holzzaun</t>
  </si>
  <si>
    <t>2.7.5</t>
  </si>
  <si>
    <t>mind. 10 m²</t>
  </si>
  <si>
    <t xml:space="preserve">Pergola </t>
  </si>
  <si>
    <t>2.7.4</t>
  </si>
  <si>
    <t>8 Laufmeter, bestockte Breite mind. 1 m</t>
  </si>
  <si>
    <t>Hecke</t>
  </si>
  <si>
    <t>2.7.3</t>
  </si>
  <si>
    <t xml:space="preserve">4 einheimische Sträucher </t>
  </si>
  <si>
    <t xml:space="preserve">beerentragende Sträucher </t>
  </si>
  <si>
    <t>2.7.2</t>
  </si>
  <si>
    <t>2 Bäume max. 20 m von Hofgelände entfernt: Stammdurchmesser mind. 30 cm</t>
  </si>
  <si>
    <t>alte Bäume</t>
  </si>
  <si>
    <t>2.7.1</t>
  </si>
  <si>
    <t xml:space="preserve">Natürliche Gartenelemente auf dem Hofgelände </t>
  </si>
  <si>
    <t>total 20 m²</t>
  </si>
  <si>
    <t>begrüntes (Flach-) Dach</t>
  </si>
  <si>
    <t>2.6.6</t>
  </si>
  <si>
    <t>total 10 m²</t>
  </si>
  <si>
    <t>Steindach, Schindeldach, Dach mit Strangfalzziegeln</t>
  </si>
  <si>
    <t>2.6.5</t>
  </si>
  <si>
    <t>Fassade mit Holzverkleidung</t>
  </si>
  <si>
    <t>2.6.4</t>
  </si>
  <si>
    <t>unverputztes Gemäuer mit Hohlräumen</t>
  </si>
  <si>
    <t>2.6.3</t>
  </si>
  <si>
    <t>verwitterte Schindelfassade</t>
  </si>
  <si>
    <t>2.6.2</t>
  </si>
  <si>
    <t>Wandbegrünung</t>
  </si>
  <si>
    <t>2.6.1</t>
  </si>
  <si>
    <t>Begrünte und naturnahe Fassaden und Dachbedeckungen</t>
  </si>
  <si>
    <t>total ½ Hofgelände</t>
  </si>
  <si>
    <t xml:space="preserve">Kies, Sand, Mergel, Lehm, Kopfstein-, Bollensteinpflaster </t>
  </si>
  <si>
    <t>2.5.1</t>
  </si>
  <si>
    <t>Sickerfähigen, unversiegelten Belägen</t>
  </si>
  <si>
    <t>grosses Hofgelände: 30 m²; kleines Hofgelände: 15 m²</t>
  </si>
  <si>
    <t>Hochstaudenfluren und Ruderalflächen</t>
  </si>
  <si>
    <t>2.4.1</t>
  </si>
  <si>
    <t xml:space="preserve">Ruderalstandorte und Hochstaudenfluren </t>
  </si>
  <si>
    <t>1 Brunnen permanent Wasser führend</t>
  </si>
  <si>
    <t>Hofbrunnen (Quellwasser)</t>
  </si>
  <si>
    <t>2.3.2</t>
  </si>
  <si>
    <t>Wasserstellen: Teiche, Tümpel, Pfützen (regelmässig stehendes Wasser), Gräben</t>
  </si>
  <si>
    <t>2.3.1</t>
  </si>
  <si>
    <t xml:space="preserve">Feuchtstandorte </t>
  </si>
  <si>
    <t>5 Laufmeter; Höhe mind. 50 cm</t>
  </si>
  <si>
    <t>Trockenmauern, bewachsene Steinkörbe</t>
  </si>
  <si>
    <t>2.2.3</t>
  </si>
  <si>
    <t>Steinhaufen, Asthaufen, gestapelte Ziegel, Sandhaufen, Wurzelstöcke</t>
  </si>
  <si>
    <t>2.2.2</t>
  </si>
  <si>
    <t>3 Ster (3 m³)</t>
  </si>
  <si>
    <t>Holzbeigen, Bretterbeigen (z.B. 3 Rundholzster)</t>
  </si>
  <si>
    <t>2.2.1</t>
  </si>
  <si>
    <t>keine Abfall (Altmetall, Paletten, Bauschutt, usw.)</t>
  </si>
  <si>
    <t xml:space="preserve">Strukturelemente </t>
  </si>
  <si>
    <t>Elemente von total 1 m², Tiefe mind. 15 cm</t>
  </si>
  <si>
    <t>Nisthilfen für Wildbienen</t>
  </si>
  <si>
    <t>2.1.6</t>
  </si>
  <si>
    <t>2 Kästen an geeigneter Stelle</t>
  </si>
  <si>
    <t>Fledermauskästen</t>
  </si>
  <si>
    <t>2.1.5</t>
  </si>
  <si>
    <t>10 Nistkästen für verschiedene Arten</t>
  </si>
  <si>
    <t>Nisthilfen für Höhlen- und Halbhöhlenbrüter</t>
  </si>
  <si>
    <t>2.1.4</t>
  </si>
  <si>
    <t>3 Nistkästen an geeigneter Stelle</t>
  </si>
  <si>
    <t>Nisthilfen für Mauersegler</t>
  </si>
  <si>
    <t>2.1.3</t>
  </si>
  <si>
    <t>Rauchschwalbe/Mehlschwalbe: 5 Natur- oder Kunstnester</t>
  </si>
  <si>
    <t xml:space="preserve">Nisthilfen für Schwalben </t>
  </si>
  <si>
    <t>2.1.2</t>
  </si>
  <si>
    <t xml:space="preserve">2 Kästen an geeigneter Stelle </t>
  </si>
  <si>
    <t>Nistkästen für Turmfalke und Schleiereule</t>
  </si>
  <si>
    <t>2.1.1</t>
  </si>
  <si>
    <t>Nistmöglichkeiten schaffen</t>
  </si>
  <si>
    <t>Eine grosse Vielfalt auf Ihrem Hofgelände erzielen Sie, wenn Sie Massnahmen aus jeder Rubrik (2.1, 2.2 usw.) umsetzen.</t>
  </si>
  <si>
    <t>Massnahmen</t>
  </si>
  <si>
    <t>Ausstiegshilfen (Brunnen, Wassertröge, Kellertreppen)</t>
  </si>
  <si>
    <t>1.3</t>
  </si>
  <si>
    <t xml:space="preserve">zugedeckte Schächte, Dolen, Wasserstellen </t>
  </si>
  <si>
    <t>Verzicht Herbizide (Hofgelände inkl. Garten)</t>
  </si>
  <si>
    <t>Grundauflagen</t>
  </si>
  <si>
    <t>Mass-nahmen</t>
  </si>
  <si>
    <t xml:space="preserve">Mindestkriterien </t>
  </si>
  <si>
    <t>Massnahmenbereich / Einzelmassnahmen</t>
  </si>
  <si>
    <t>Nr.</t>
  </si>
  <si>
    <t>von Hand übertragener Punktewert</t>
  </si>
  <si>
    <t>C : Aufwertungsmassnahmen im Gemüsebau</t>
  </si>
  <si>
    <t>% der Gemüsebaufläche (Freiland)</t>
  </si>
  <si>
    <t>C II: Massnahmen in und um den gedeckten Gemüseanbau</t>
  </si>
  <si>
    <t>% der geschützten Gemüsebaufläche (811)</t>
  </si>
  <si>
    <t>C III: Ressourcen schonende Gemüseproduktion</t>
  </si>
  <si>
    <r>
      <rPr>
        <b/>
        <sz val="11"/>
        <rFont val="Arial Narrow"/>
        <family val="2"/>
      </rPr>
      <t>Untersaat</t>
    </r>
    <r>
      <rPr>
        <sz val="11"/>
        <rFont val="Arial Narrow"/>
        <family val="2"/>
      </rPr>
      <t xml:space="preserve"> in der Haupt-Gemüsekultur</t>
    </r>
  </si>
  <si>
    <r>
      <t xml:space="preserve">Vollständiger Verzicht auf Herbizide im Gemüsebau </t>
    </r>
    <r>
      <rPr>
        <sz val="11"/>
        <rFont val="Arial Narrow"/>
        <family val="2"/>
      </rPr>
      <t>(Flächen bezogen)</t>
    </r>
  </si>
  <si>
    <r>
      <t>Vollständiger Verzicht auf Insektizide und Akarizide</t>
    </r>
    <r>
      <rPr>
        <sz val="11"/>
        <color theme="1"/>
        <rFont val="Arial Narrow"/>
        <family val="2"/>
      </rPr>
      <t xml:space="preserve"> (Flächen bezogen)</t>
    </r>
  </si>
  <si>
    <r>
      <t>Vollständiger Verzicht auf Fungizide</t>
    </r>
    <r>
      <rPr>
        <sz val="11"/>
        <rFont val="Arial Narrow"/>
        <family val="2"/>
      </rPr>
      <t xml:space="preserve"> (Flächen bezogen)</t>
    </r>
  </si>
  <si>
    <t>Ein- und mehrjährige Nützlingsstreifen auf/angrenzend an Gemüseparzellen</t>
  </si>
  <si>
    <t>Teilsumme Aufwertungsmassnahmen Gemüsebau</t>
  </si>
  <si>
    <t>Anteil Gemüseanbaufläche an LN</t>
  </si>
  <si>
    <t>welche Kulturen?</t>
  </si>
  <si>
    <t>1.1.6</t>
  </si>
  <si>
    <t>1.1.6.1</t>
  </si>
  <si>
    <t>Anteil BFF an LN in %</t>
  </si>
  <si>
    <t>Gemüse im Freiland (545)</t>
  </si>
  <si>
    <t>Gemüse im geschützten Anbau ohne festes Fundament auf gewachsenem Boden (811)</t>
  </si>
  <si>
    <t>Reben (701, 717, 737)</t>
  </si>
  <si>
    <t>übrige Flächen (Streueflächen, Dauerkulturen usw.)</t>
  </si>
  <si>
    <t>Spezialkulturen (alle Codes)</t>
  </si>
  <si>
    <t>Wert in C6 darf nur angegeben werden, wenn die Mindestanzahl KS erfüllt ist</t>
  </si>
  <si>
    <t>2.5 Pkt.</t>
  </si>
  <si>
    <t>intensiv genutzes Grünland</t>
  </si>
  <si>
    <t>Massnahmen im intensiv genutzten Grünland (Dauergrünland, Kunstwiesen)</t>
  </si>
  <si>
    <t>Ackerbau in den Bergzonen I-IV</t>
  </si>
  <si>
    <t xml:space="preserve">Mais mit Klee/Gras-Untersaat </t>
  </si>
  <si>
    <t>überwinternde Gründüngung bis 14. Februar</t>
  </si>
  <si>
    <t xml:space="preserve">Kleinflächen / Patches auf Getreide, Raps, Sonnenblumen oder Mais  </t>
  </si>
  <si>
    <t>BFF auf 20 ha LN</t>
  </si>
  <si>
    <t>Anzahl BFF von mindestens 10 a</t>
  </si>
  <si>
    <t>9.1</t>
  </si>
  <si>
    <t>grossflächige BFF pro 20 ha LN</t>
  </si>
  <si>
    <t>Anzahl BFF-Einzelflächen über 25 a in IPS-Qualität</t>
  </si>
  <si>
    <t>Grossflächige BFF in IPS-Qualität</t>
  </si>
  <si>
    <t>LN BZ III - IV</t>
  </si>
  <si>
    <t>LN in BZ I - II</t>
  </si>
  <si>
    <t>LN in TZ/HZ</t>
  </si>
  <si>
    <t>BFF auf Dauergrünland/Streueflächen</t>
  </si>
  <si>
    <t>5.16.3</t>
  </si>
  <si>
    <t>5.16.2</t>
  </si>
  <si>
    <t>Total BFF inkl. Bäume</t>
  </si>
  <si>
    <t>Total BFF ohne Bäume</t>
  </si>
  <si>
    <t xml:space="preserve">Typ </t>
  </si>
  <si>
    <t>durchschn. ha</t>
  </si>
  <si>
    <r>
      <t xml:space="preserve">DGVE total        </t>
    </r>
    <r>
      <rPr>
        <sz val="11"/>
        <rFont val="ZapfDingbats"/>
        <family val="5"/>
        <charset val="2"/>
      </rPr>
      <t>è</t>
    </r>
  </si>
  <si>
    <t>LN in Bergzone III- IV</t>
  </si>
  <si>
    <t>LN in Bergzone I - II</t>
  </si>
  <si>
    <t>Grünland_plus_Streueland</t>
  </si>
  <si>
    <t>nicht Ackerfläche</t>
  </si>
  <si>
    <t>Version 2010/1c</t>
  </si>
  <si>
    <t>Fragebogen für Betriebe im Berggebiet (Bergzonen I-IV)</t>
  </si>
  <si>
    <t>Berggebiet (Bergzone I-IV)</t>
  </si>
  <si>
    <t>Tal</t>
  </si>
  <si>
    <t>Berg</t>
  </si>
  <si>
    <t>plaine</t>
  </si>
  <si>
    <t>LN ohne Spezialkulturen</t>
  </si>
  <si>
    <t>extensive Weide (617) und Waldw. (618, 625)</t>
  </si>
  <si>
    <t>LN ohne Spezialkulturen à 9 % BFF</t>
  </si>
  <si>
    <t>Spezialkulturen à 5 % BFF</t>
  </si>
  <si>
    <r>
      <t>auf Gemüseanbauflächen (pro BFF-Kultur</t>
    </r>
    <r>
      <rPr>
        <b/>
        <sz val="11"/>
        <rFont val="Arial Narrow"/>
        <family val="2"/>
      </rPr>
      <t xml:space="preserve"> mind. 10%</t>
    </r>
    <r>
      <rPr>
        <sz val="11"/>
        <rFont val="Arial Narrow"/>
        <family val="2"/>
      </rPr>
      <t xml:space="preserve"> von Flächentaotal der mehrjärigen BFF auf Ackerland auf Gemüsebauflächen </t>
    </r>
    <r>
      <rPr>
        <b/>
        <sz val="11"/>
        <rFont val="Arial Narrow"/>
        <family val="2"/>
      </rPr>
      <t>(innerhalb sowie angrenzend [50 m] an Gemüseflächen)</t>
    </r>
  </si>
  <si>
    <t xml:space="preserve">Vielfalt an mehrjährigen BFF auf Ackerland </t>
  </si>
  <si>
    <t>Einsaat/Pflanzung von nützlingsfördernden Begleitpflanzen</t>
  </si>
  <si>
    <t>GVE total        è</t>
  </si>
  <si>
    <t>Betriebsnr.:</t>
  </si>
  <si>
    <t>IPS-Nr.:</t>
  </si>
  <si>
    <t>Mindestanzahl KS</t>
  </si>
  <si>
    <r>
      <rPr>
        <sz val="11"/>
        <rFont val="Arial Narrow"/>
        <family val="2"/>
      </rPr>
      <t>mit einer Mischung mit mind</t>
    </r>
    <r>
      <rPr>
        <sz val="11"/>
        <color theme="1"/>
        <rFont val="Arial Narrow"/>
        <family val="2"/>
      </rPr>
      <t>. 2 Pflanzenarten</t>
    </r>
    <r>
      <rPr>
        <sz val="11"/>
        <rFont val="Arial Narrow"/>
        <family val="2"/>
      </rPr>
      <t xml:space="preserve"> (ohne Gräser), min. Standzeit: 8 Wochen, Ansaat bis 30. Juni</t>
    </r>
  </si>
  <si>
    <t xml:space="preserve">Blühende Sommerzwischenfrucht </t>
  </si>
  <si>
    <t>Vielfalt an Gemüsekulturen aus verschiedenen Pflanzenfamilien (botanisch)</t>
  </si>
  <si>
    <t>bei ≤ 7 Familien: je mind. 8 % der Gemüsebaufläche, bzw. 4 % bei &gt; 7 Familien (ohne Gewächshauskulturen)</t>
  </si>
  <si>
    <t>Anlage &amp; extensive Pflege artenreicher Wiesenstreifen</t>
  </si>
  <si>
    <t>D: Aufwertungsmassnahmen im Rebbau</t>
  </si>
  <si>
    <t>Reben an der LN</t>
  </si>
  <si>
    <t>% der Rebfläche</t>
  </si>
  <si>
    <t>grosses Hofgelände: 5 Elemente à 2 m², Höhe mind. 
50 cm; kleines Hofgelände 3 Elemente à 2 m², Höhe
mind. 50 cm</t>
  </si>
  <si>
    <t>E Massnahmen Hof+</t>
  </si>
  <si>
    <t>Falls erfüllt: "1" eintragen!</t>
  </si>
  <si>
    <t>Grundauflagen erfüllt</t>
  </si>
  <si>
    <t>Massnahmen erfüllt</t>
  </si>
  <si>
    <t>2.5</t>
  </si>
  <si>
    <t>Grund-auflagen</t>
  </si>
  <si>
    <t>Ackerfläche (total)</t>
  </si>
  <si>
    <t>Hof+ D</t>
  </si>
  <si>
    <t>Gemüse</t>
  </si>
  <si>
    <t>Reben</t>
  </si>
  <si>
    <t>montagne</t>
  </si>
  <si>
    <t>************************************</t>
  </si>
  <si>
    <t>1.1.F SAU (LN)</t>
  </si>
  <si>
    <t>1.1 LN</t>
  </si>
  <si>
    <t>1.1.6 Spezialkulturen</t>
  </si>
  <si>
    <t>Spezialkulturen</t>
  </si>
  <si>
    <t>Zonen</t>
  </si>
  <si>
    <t>Anteil</t>
  </si>
  <si>
    <t>Punkte  Gemüsebau (gewichtet):</t>
  </si>
  <si>
    <t>Punkte Rebbau (gewichtet):</t>
  </si>
  <si>
    <t>Punkte Hof+:</t>
  </si>
  <si>
    <t>1.1.6 Cultures spéciales</t>
  </si>
  <si>
    <t>Blätter</t>
  </si>
  <si>
    <t>Daten</t>
  </si>
  <si>
    <t>feuilles</t>
  </si>
  <si>
    <t>dates</t>
  </si>
  <si>
    <t>Warnung</t>
  </si>
  <si>
    <t>Warnung F</t>
  </si>
  <si>
    <t>Leerzellen, damit gleiche Zeilenzahl wie in Talzone</t>
  </si>
  <si>
    <t>Verborgene Zellen anstelle 10.9.</t>
  </si>
  <si>
    <t>Hof+ Punkte (Übertrag von Tabellenblatt "Hof+")</t>
  </si>
  <si>
    <t>Punkte Gemüse (Übertrag von Tabellenblatt "Gemüse")</t>
  </si>
  <si>
    <t>Punkte Reben (Übertrag vom Tabellenblatt "Reben")</t>
  </si>
  <si>
    <t>Verzicht auf Pflanzenschutzmittel im Ackerbau</t>
  </si>
  <si>
    <t>Verzicht auf Insektizide im Kartoffelnanbau</t>
  </si>
  <si>
    <t>Verzicht auf Insektizide im Kartoffelanbau</t>
  </si>
  <si>
    <t xml:space="preserve">entlang der geschützten Anbauflächen (Code 811) (mind. 1 m breit und 1 a). </t>
  </si>
  <si>
    <t>Leerzeile, damit gleiche Zeilenzahl wie in "maraîchère"</t>
  </si>
  <si>
    <r>
      <rPr>
        <b/>
        <sz val="11"/>
        <rFont val="Arial Narrow"/>
        <family val="2"/>
      </rPr>
      <t>(mind. 10 Pflanzen/Are)</t>
    </r>
    <r>
      <rPr>
        <sz val="11"/>
        <rFont val="Arial Narrow"/>
        <family val="2"/>
      </rPr>
      <t xml:space="preserve"> im Kohlanbau </t>
    </r>
  </si>
  <si>
    <t xml:space="preserve">Extensive Pflege von artenreichen Randstrukturen oder Querstreifen </t>
  </si>
  <si>
    <t xml:space="preserve">Nützlingsstreifen und/oder Nützlings fördernde Begleitpflanzen </t>
  </si>
  <si>
    <t>im geschützten Anbau (unter Code 811 umsetzbar)</t>
  </si>
  <si>
    <t>Verzicht auf chemisch-synthetische Insektiziden und Akariziden</t>
  </si>
  <si>
    <t>&gt; begrünte Fahrgassen in % aller Fahrgassen auf Gemüseanbauflächen</t>
  </si>
  <si>
    <t>mit einer artenreichen/blühenden Mischung begrünte Fahrgassen</t>
  </si>
  <si>
    <t>Längsseite der Kulturflächen oder Querstreifen innerhalb der Kultur anrechenbar; keine Wendezonen (Mindestbreite: 3 m)</t>
  </si>
  <si>
    <r>
      <rPr>
        <sz val="11"/>
        <rFont val="Arial Narrow"/>
        <family val="2"/>
      </rPr>
      <t>pro 3 Aren Randflächen müssen 2 Kleinstrukturen (KS) vorhanden sein</t>
    </r>
    <r>
      <rPr>
        <b/>
        <sz val="11"/>
        <rFont val="Arial Narrow"/>
        <family val="2"/>
      </rPr>
      <t>.</t>
    </r>
  </si>
  <si>
    <r>
      <t>Punkte Gemüsebau</t>
    </r>
    <r>
      <rPr>
        <b/>
        <sz val="14"/>
        <rFont val="Arial Narrow"/>
        <family val="2"/>
      </rPr>
      <t xml:space="preserve"> </t>
    </r>
    <r>
      <rPr>
        <b/>
        <sz val="12"/>
        <rFont val="Arial Narrow"/>
        <family val="2"/>
      </rPr>
      <t>(mit dem Anteil Gemüsebaufläche an der LN gewichtet)</t>
    </r>
  </si>
  <si>
    <t>Angemessene Bedeckung des Bodens im Rebbau</t>
  </si>
  <si>
    <r>
      <t>Punkte  Rebbau</t>
    </r>
    <r>
      <rPr>
        <b/>
        <sz val="12"/>
        <color theme="1"/>
        <rFont val="Arial Narrow"/>
        <family val="2"/>
      </rPr>
      <t xml:space="preserve"> (mit Anteil Rebfläche gewichtet)</t>
    </r>
  </si>
  <si>
    <t>CI : Biodiversitätsförderflächen (BFF) &amp; Förderung der funktionellen Biodiversität</t>
  </si>
  <si>
    <t>&gt;3–6 a</t>
  </si>
  <si>
    <t>&gt;6–9 a</t>
  </si>
  <si>
    <t>&gt;9 a</t>
  </si>
  <si>
    <t>3 a</t>
  </si>
  <si>
    <t>Familien</t>
  </si>
  <si>
    <t>a</t>
  </si>
  <si>
    <t>&gt; 7</t>
  </si>
  <si>
    <t>© IP-Suisse &amp; Schweizerische Vogelwarte, 9.Sept. 2025</t>
  </si>
  <si>
    <t>ferme+</t>
  </si>
  <si>
    <t>maraîchère</t>
  </si>
  <si>
    <t>viticulture</t>
  </si>
  <si>
    <t>Verzicht auf Herbizide in der Rebfläche gem. DZV</t>
  </si>
  <si>
    <t>gemäss DZV</t>
  </si>
  <si>
    <t xml:space="preserve">Verzicht auf Insektizide, Akarizide und Fungizide nach </t>
  </si>
  <si>
    <t>der Blüte in der Rebfläche gem. DZV</t>
  </si>
  <si>
    <t xml:space="preserve">Bewirtschaftung der Rebfläche mit Hilfsmitteln nach </t>
  </si>
  <si>
    <t>der biologischen Landwirtschaft gem. DZV</t>
  </si>
  <si>
    <t>Robuste Rebsorten</t>
  </si>
  <si>
    <t>Rebflächen mit unbedecktem Boden auf ⅓ bis ⅔ der Fläche</t>
  </si>
  <si>
    <t>Verzicht auf Herbizide im Gemüsebau - Bandspritzung und Spotspraying</t>
  </si>
  <si>
    <t>erlaubt (Flächen bezogen)</t>
  </si>
  <si>
    <t>© IP-Suisse &amp; Schweizerische Vogelwarte, 18.Sept. 2025</t>
  </si>
  <si>
    <t xml:space="preserve">  </t>
  </si>
  <si>
    <t>© IP-Suisse &amp; Schweizerische Vogelwarte, 22.Sept. 2025</t>
  </si>
  <si>
    <t>17.1</t>
  </si>
  <si>
    <t>17.2</t>
  </si>
  <si>
    <t>17.3</t>
  </si>
  <si>
    <t>17.4</t>
  </si>
  <si>
    <t>17.5</t>
  </si>
  <si>
    <t>17.6</t>
  </si>
  <si>
    <t>17.7</t>
  </si>
  <si>
    <t>17.8</t>
  </si>
  <si>
    <t>17.9</t>
  </si>
  <si>
    <t>17.10</t>
  </si>
  <si>
    <t>17.11</t>
  </si>
  <si>
    <t>17.12</t>
  </si>
  <si>
    <t>17.13</t>
  </si>
  <si>
    <t>17.14</t>
  </si>
  <si>
    <t>17.15</t>
  </si>
  <si>
    <t>17.16</t>
  </si>
  <si>
    <t>17.17</t>
  </si>
  <si>
    <t>18.1</t>
  </si>
  <si>
    <t>18.2</t>
  </si>
  <si>
    <t>18.3</t>
  </si>
  <si>
    <t>18.4</t>
  </si>
  <si>
    <t>18.5</t>
  </si>
  <si>
    <t>18.6</t>
  </si>
  <si>
    <t>Aufwertung von Flächen aus Massnahme 17.10. mit Kleinstrukturen (10%)</t>
  </si>
  <si>
    <t>Aufwertung von Flächen aus Massnahme 17.5 mit Kleinstrukturen</t>
  </si>
  <si>
    <t>Kontrollfeld (muss überall WAHR sein)</t>
  </si>
  <si>
    <t>Uferwiesen (635)</t>
  </si>
  <si>
    <t>ausgeblendet!!</t>
  </si>
  <si>
    <t>Ackerbau in BZ I-IV</t>
  </si>
  <si>
    <r>
      <t xml:space="preserve">Version 2026 </t>
    </r>
    <r>
      <rPr>
        <b/>
        <sz val="10"/>
        <color theme="0" tint="-0.499984740745262"/>
        <rFont val="Arial Narrow"/>
        <family val="2"/>
      </rPr>
      <t>– 2.1</t>
    </r>
  </si>
  <si>
    <t>10.10</t>
  </si>
  <si>
    <t>'10.10</t>
  </si>
  <si>
    <r>
      <t xml:space="preserve">Version 2026 </t>
    </r>
    <r>
      <rPr>
        <b/>
        <sz val="10"/>
        <color theme="0" tint="-0.499984740745262"/>
        <rFont val="Arial Narrow"/>
        <family val="2"/>
      </rPr>
      <t>– 2.2</t>
    </r>
  </si>
  <si>
    <t>© IP-Suisse &amp; Schweizerische Vogelwarte, 30. März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</si>
</sst>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0.00\ &quot;ha&quot;"/>
    <numFmt numFmtId="168" formatCode="&quot;-&gt; &quot;0.0&quot;% der Rebfläche&quot;"/>
    <numFmt numFmtId="169" formatCode="&quot;-&gt; &quot;0.0&quot;% de la surface viticole&quot;"/>
    <numFmt numFmtId="170" formatCode="&quot;(&quot;0&quot;)&quot;"/>
    <numFmt numFmtId="172" formatCode="0\ &quot;Typ(en)&quot;"/>
    <numFmt numFmtId="173" formatCode="0\ &quot;Familien&quot;"/>
    <numFmt numFmtId="174" formatCode="0\ &quot; von 3&quot;"/>
  </numFmts>
  <fonts count="69">
    <font>
      <sz val="10"/>
      <name val="Arial"/>
    </font>
    <font>
      <sz val="10"/>
      <name val="Arial"/>
      <family val="2"/>
    </font>
    <font>
      <sz val="11"/>
      <name val="ZapfDingbats"/>
      <family val="5"/>
      <charset val="2"/>
    </font>
    <font>
      <sz val="11"/>
      <name val="Arial Narrow"/>
      <family val="2"/>
    </font>
    <font>
      <sz val="10"/>
      <name val="Arial Narrow"/>
      <family val="2"/>
    </font>
    <font>
      <b/>
      <sz val="10"/>
      <name val="Arial Narrow"/>
      <family val="2"/>
    </font>
    <font>
      <b/>
      <sz val="14"/>
      <name val="Arial Narrow"/>
      <family val="2"/>
    </font>
    <font>
      <b/>
      <sz val="12"/>
      <color indexed="10"/>
      <name val="Arial Narrow"/>
      <family val="2"/>
    </font>
    <font>
      <b/>
      <sz val="11"/>
      <name val="Arial Narrow"/>
      <family val="2"/>
    </font>
    <font>
      <b/>
      <sz val="11"/>
      <color indexed="10"/>
      <name val="Arial Narrow"/>
      <family val="2"/>
    </font>
    <font>
      <b/>
      <sz val="10"/>
      <color indexed="10"/>
      <name val="Arial Narrow"/>
      <family val="2"/>
    </font>
    <font>
      <sz val="11"/>
      <color indexed="8"/>
      <name val="Arial Narrow"/>
      <family val="2"/>
    </font>
    <font>
      <sz val="10"/>
      <color indexed="10"/>
      <name val="Arial Narrow"/>
      <family val="2"/>
    </font>
    <font>
      <b/>
      <sz val="12"/>
      <name val="Arial Narrow"/>
      <family val="2"/>
    </font>
    <font>
      <sz val="8"/>
      <name val="Arial Narrow"/>
      <family val="2"/>
    </font>
    <font>
      <sz val="11"/>
      <color indexed="9"/>
      <name val="Arial Narrow"/>
      <family val="2"/>
    </font>
    <font>
      <b/>
      <sz val="10"/>
      <color indexed="9"/>
      <name val="Arial Narrow"/>
      <family val="2"/>
    </font>
    <font>
      <sz val="10"/>
      <color indexed="9"/>
      <name val="Arial Narrow"/>
      <family val="2"/>
    </font>
    <font>
      <sz val="11"/>
      <color indexed="10"/>
      <name val="Arial Narrow"/>
      <family val="2"/>
    </font>
    <font>
      <b/>
      <sz val="11"/>
      <color indexed="8"/>
      <name val="Arial Narrow"/>
      <family val="2"/>
    </font>
    <font>
      <b/>
      <sz val="10"/>
      <color indexed="53"/>
      <name val="Arial"/>
      <family val="2"/>
    </font>
    <font>
      <sz val="10"/>
      <color indexed="22"/>
      <name val="Arial Narrow"/>
      <family val="2"/>
    </font>
    <font>
      <b/>
      <sz val="12"/>
      <color indexed="81"/>
      <name val="Tahoma"/>
      <family val="2"/>
    </font>
    <font>
      <b/>
      <sz val="10"/>
      <color indexed="81"/>
      <name val="Tahoma"/>
      <family val="2"/>
    </font>
    <font>
      <sz val="8"/>
      <color rgb="FF000000"/>
      <name val="Tahoma"/>
      <family val="2"/>
    </font>
    <font>
      <sz val="9"/>
      <color indexed="81"/>
      <name val="Segoe UI"/>
      <family val="2"/>
    </font>
    <font>
      <b/>
      <sz val="9"/>
      <color indexed="81"/>
      <name val="Segoe UI"/>
      <family val="2"/>
    </font>
    <font>
      <sz val="11"/>
      <color rgb="FFFF0000"/>
      <name val="Arial Narrow"/>
      <family val="2"/>
    </font>
    <font>
      <sz val="11"/>
      <color theme="0"/>
      <name val="Arial Narrow"/>
      <family val="2"/>
    </font>
    <font>
      <sz val="10"/>
      <color rgb="FF333333"/>
      <name val="Segoe UI"/>
      <family val="2"/>
    </font>
    <font>
      <b/>
      <sz val="11"/>
      <color rgb="FFFF0000"/>
      <name val="Arial Narrow"/>
      <family val="2"/>
    </font>
    <font>
      <sz val="8"/>
      <color theme="1"/>
      <name val="Arial Narrow"/>
      <family val="2"/>
    </font>
    <font>
      <sz val="10"/>
      <color rgb="FFFF0000"/>
      <name val="Arial Narrow"/>
      <family val="2"/>
    </font>
    <font>
      <b/>
      <sz val="10"/>
      <color rgb="FFFF0000"/>
      <name val="Arial Narrow"/>
      <family val="2"/>
    </font>
    <font>
      <sz val="11"/>
      <color theme="1"/>
      <name val="Arial Narrow"/>
      <family val="2"/>
    </font>
    <font>
      <i/>
      <sz val="9"/>
      <color indexed="81"/>
      <name val="Segoe UI"/>
      <family val="2"/>
    </font>
    <font>
      <sz val="11"/>
      <color theme="1"/>
      <name val="Calibri"/>
      <family val="2"/>
      <scheme val="minor"/>
    </font>
    <font>
      <b/>
      <sz val="14"/>
      <color theme="1"/>
      <name val="Arial Narrow"/>
      <family val="2"/>
    </font>
    <font>
      <b/>
      <sz val="11"/>
      <color theme="1"/>
      <name val="Arial Narrow"/>
      <family val="2"/>
    </font>
    <font>
      <sz val="11"/>
      <color rgb="FF006100"/>
      <name val="Calibri"/>
      <family val="2"/>
      <scheme val="minor"/>
    </font>
    <font>
      <sz val="11"/>
      <color rgb="FF9C6500"/>
      <name val="Calibri"/>
      <family val="2"/>
      <scheme val="minor"/>
    </font>
    <font>
      <sz val="10"/>
      <name val="Arial"/>
      <family val="2"/>
    </font>
    <font>
      <b/>
      <sz val="14"/>
      <color rgb="FFFF0000"/>
      <name val="Arial Narrow"/>
      <family val="2"/>
    </font>
    <font>
      <sz val="14"/>
      <color rgb="FFFF0000"/>
      <name val="Arial Narrow"/>
      <family val="2"/>
    </font>
    <font>
      <b/>
      <sz val="9"/>
      <color theme="1"/>
      <name val="Arial Narrow"/>
      <family val="2"/>
    </font>
    <font>
      <b/>
      <sz val="9"/>
      <name val="Arial Narrow"/>
      <family val="2"/>
    </font>
    <font>
      <sz val="9"/>
      <color theme="1"/>
      <name val="Arial Narrow"/>
      <family val="2"/>
    </font>
    <font>
      <b/>
      <sz val="12"/>
      <color theme="1"/>
      <name val="Arial Narrow"/>
      <family val="2"/>
    </font>
    <font>
      <sz val="12"/>
      <color theme="1"/>
      <name val="Arial Narrow"/>
      <family val="2"/>
    </font>
    <font>
      <i/>
      <sz val="8"/>
      <name val="Arial Narrow"/>
      <family val="2"/>
    </font>
    <font>
      <i/>
      <sz val="11"/>
      <name val="Arial Narrow"/>
      <family val="2"/>
    </font>
    <font>
      <i/>
      <sz val="10"/>
      <name val="Arial Narrow"/>
      <family val="2"/>
    </font>
    <font>
      <i/>
      <sz val="10"/>
      <color theme="0"/>
      <name val="Arial Narrow"/>
      <family val="2"/>
    </font>
    <font>
      <i/>
      <sz val="11"/>
      <color rgb="FFFF0000"/>
      <name val="Arial Narrow"/>
      <family val="2"/>
    </font>
    <font>
      <sz val="11"/>
      <color theme="3" tint="0.39997558519241921"/>
      <name val="Arial Narrow"/>
      <family val="2"/>
    </font>
    <font>
      <sz val="10"/>
      <color rgb="FFFF0000"/>
      <name val="Arial"/>
      <family val="2"/>
    </font>
    <font>
      <sz val="11"/>
      <color indexed="9"/>
      <name val="ZapfDingbats"/>
      <family val="5"/>
      <charset val="2"/>
    </font>
    <font>
      <sz val="10"/>
      <color theme="0"/>
      <name val="Arial Narrow"/>
      <family val="2"/>
    </font>
    <font>
      <sz val="12"/>
      <name val="Arial Narrow"/>
      <family val="2"/>
    </font>
    <font>
      <sz val="14"/>
      <name val="Arial Narrow"/>
      <family val="2"/>
    </font>
    <font>
      <b/>
      <sz val="12"/>
      <color rgb="FFFF0000"/>
      <name val="Arial Narrow"/>
      <family val="2"/>
    </font>
    <font>
      <sz val="14"/>
      <name val="Arial"/>
      <family val="2"/>
    </font>
    <font>
      <b/>
      <sz val="14"/>
      <color indexed="10"/>
      <name val="Arial Narrow"/>
      <family val="2"/>
    </font>
    <font>
      <b/>
      <i/>
      <sz val="11"/>
      <color theme="1"/>
      <name val="Arial Narrow"/>
      <family val="2"/>
    </font>
    <font>
      <sz val="9"/>
      <name val="Arial Narrow"/>
      <family val="2"/>
    </font>
    <font>
      <sz val="16"/>
      <name val="Arial Narrow"/>
      <family val="2"/>
    </font>
    <font>
      <sz val="16"/>
      <name val="Arial"/>
      <family val="2"/>
    </font>
    <font>
      <b/>
      <sz val="16"/>
      <name val="Arial Narrow"/>
      <family val="2"/>
    </font>
    <font>
      <b/>
      <sz val="10"/>
      <color theme="0" tint="-0.499984740745262"/>
      <name val="Arial Narrow"/>
      <family val="2"/>
    </font>
  </fonts>
  <fills count="24">
    <fill>
      <patternFill patternType="none"/>
    </fill>
    <fill>
      <patternFill patternType="gray125"/>
    </fill>
    <fill>
      <patternFill patternType="solid">
        <fgColor indexed="43"/>
        <bgColor indexed="64"/>
      </patternFill>
    </fill>
    <fill>
      <patternFill patternType="solid">
        <fgColor indexed="52"/>
        <bgColor indexed="64"/>
      </patternFill>
    </fill>
    <fill>
      <patternFill patternType="solid">
        <fgColor indexed="51"/>
        <bgColor indexed="64"/>
      </patternFill>
    </fill>
    <fill>
      <patternFill patternType="solid">
        <fgColor indexed="42"/>
        <bgColor indexed="64"/>
      </patternFill>
    </fill>
    <fill>
      <patternFill patternType="solid">
        <fgColor indexed="47"/>
        <bgColor indexed="64"/>
      </patternFill>
    </fill>
    <fill>
      <patternFill patternType="solid">
        <fgColor indexed="13"/>
        <bgColor indexed="64"/>
      </patternFill>
    </fill>
    <fill>
      <patternFill patternType="solid">
        <fgColor indexed="22"/>
        <bgColor indexed="64"/>
      </patternFill>
    </fill>
    <fill>
      <patternFill patternType="solid">
        <fgColor rgb="FFC6EFCE"/>
      </patternFill>
    </fill>
    <fill>
      <patternFill patternType="solid">
        <fgColor rgb="FFFFEB9C"/>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indexed="11"/>
        <bgColor indexed="64"/>
      </patternFill>
    </fill>
    <fill>
      <patternFill patternType="solid">
        <fgColor rgb="FFFF9900"/>
        <bgColor indexed="64"/>
      </patternFill>
    </fill>
    <fill>
      <patternFill patternType="solid">
        <fgColor rgb="FFFFCC00"/>
        <bgColor indexed="64"/>
      </patternFill>
    </fill>
    <fill>
      <patternFill patternType="solid">
        <fgColor rgb="FFCCFFCC"/>
        <bgColor indexed="64"/>
      </patternFill>
    </fill>
    <fill>
      <patternFill patternType="solid">
        <fgColor rgb="FFFFFF99"/>
        <bgColor indexed="64"/>
      </patternFill>
    </fill>
    <fill>
      <patternFill patternType="solid">
        <fgColor theme="8" tint="0.59999389629810485"/>
        <bgColor indexed="64"/>
      </patternFill>
    </fill>
    <fill>
      <patternFill patternType="solid">
        <fgColor rgb="FFFFC000"/>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6" tint="0.79998168889431442"/>
        <bgColor indexed="64"/>
      </patternFill>
    </fill>
  </fills>
  <borders count="1">
    <border>
      <left/>
      <right/>
      <top/>
      <bottom/>
      <diagonal/>
    </border>
  </borders>
  <cellStyleXfs count="9">
    <xf numFmtId="0" fontId="0" fillId="0" borderId="0"/>
    <xf numFmtId="0" fontId="10" fillId="0" borderId="0">
      <alignment horizontal="left"/>
      <protection hidden="1"/>
    </xf>
    <xf numFmtId="166" fontId="3" fillId="2" borderId="0">
      <protection locked="0" hidden="1"/>
    </xf>
    <xf numFmtId="1" fontId="3" fillId="2" borderId="0">
      <protection locked="0" hidden="1"/>
    </xf>
    <xf numFmtId="0" fontId="36" fillId="0" borderId="0"/>
    <xf numFmtId="0" fontId="39" fillId="9" borderId="0" applyNumberFormat="0" applyBorder="0" applyAlignment="0" applyProtection="0"/>
    <xf numFmtId="0" fontId="40" fillId="10" borderId="0" applyNumberFormat="0" applyBorder="0" applyAlignment="0" applyProtection="0"/>
    <xf numFmtId="9" fontId="41" fillId="0" borderId="0" applyFont="0" applyFill="0" applyBorder="0" applyAlignment="0" applyProtection="0"/>
    <xf numFmtId="0" fontId="1" fillId="0" borderId="0"/>
  </cellStyleXfs>
  <cellXfs count="543">
    <xf numFmtId="0" fontId="0" fillId="0" borderId="0" xfId="0"/>
    <xf numFmtId="0" fontId="1" fillId="0" borderId="0" xfId="0" applyFont="1"/>
    <xf numFmtId="0" fontId="4" fillId="4" borderId="0" xfId="8" applyFont="1" applyFill="1" applyProtection="1">
      <protection hidden="1"/>
    </xf>
    <xf numFmtId="0" fontId="4" fillId="3" borderId="0" xfId="8" applyFont="1" applyFill="1" applyProtection="1">
      <protection hidden="1"/>
    </xf>
    <xf numFmtId="0" fontId="4" fillId="3" borderId="0" xfId="8" applyFont="1" applyFill="1" applyAlignment="1" applyProtection="1">
      <alignment horizontal="center"/>
      <protection hidden="1"/>
    </xf>
    <xf numFmtId="0" fontId="1" fillId="0" borderId="0" xfId="8" applyAlignment="1" applyProtection="1">
      <alignment horizontal="center"/>
      <protection hidden="1"/>
    </xf>
    <xf numFmtId="0" fontId="3" fillId="0" borderId="0" xfId="8" applyFont="1" applyProtection="1">
      <protection hidden="1"/>
    </xf>
    <xf numFmtId="0" fontId="3" fillId="4" borderId="0" xfId="8" applyFont="1" applyFill="1" applyProtection="1">
      <protection hidden="1"/>
    </xf>
    <xf numFmtId="0" fontId="3" fillId="3" borderId="0" xfId="8" applyFont="1" applyFill="1" applyProtection="1">
      <protection hidden="1"/>
    </xf>
    <xf numFmtId="0" fontId="4" fillId="8" borderId="0" xfId="8" applyFont="1" applyFill="1" applyAlignment="1" applyProtection="1">
      <alignment horizontal="center"/>
      <protection hidden="1"/>
    </xf>
    <xf numFmtId="0" fontId="3" fillId="8" borderId="0" xfId="8" applyFont="1" applyFill="1" applyProtection="1">
      <protection hidden="1"/>
    </xf>
    <xf numFmtId="0" fontId="4" fillId="8" borderId="0" xfId="8" quotePrefix="1" applyFont="1" applyFill="1" applyAlignment="1" applyProtection="1">
      <alignment horizontal="center"/>
      <protection hidden="1"/>
    </xf>
    <xf numFmtId="0" fontId="5" fillId="8" borderId="0" xfId="8" applyFont="1" applyFill="1" applyAlignment="1" applyProtection="1">
      <alignment horizontal="center"/>
      <protection hidden="1"/>
    </xf>
    <xf numFmtId="0" fontId="5" fillId="3" borderId="0" xfId="8" applyFont="1" applyFill="1" applyAlignment="1" applyProtection="1">
      <alignment horizontal="center"/>
      <protection hidden="1"/>
    </xf>
    <xf numFmtId="0" fontId="60" fillId="19" borderId="0" xfId="0" applyFont="1" applyFill="1" applyAlignment="1">
      <alignment vertical="center"/>
    </xf>
    <xf numFmtId="0" fontId="42" fillId="7" borderId="0" xfId="0" applyFont="1" applyFill="1" applyAlignment="1" applyProtection="1">
      <alignment vertical="center"/>
      <protection hidden="1"/>
    </xf>
    <xf numFmtId="0" fontId="43" fillId="7" borderId="0" xfId="0" applyFont="1" applyFill="1" applyAlignment="1" applyProtection="1">
      <alignment vertical="center"/>
      <protection hidden="1"/>
    </xf>
    <xf numFmtId="0" fontId="42" fillId="7" borderId="0" xfId="0" applyFont="1" applyFill="1" applyAlignment="1" applyProtection="1">
      <alignment horizontal="right" vertical="center"/>
      <protection hidden="1"/>
    </xf>
    <xf numFmtId="2" fontId="42" fillId="7" borderId="0" xfId="0" applyNumberFormat="1" applyFont="1" applyFill="1" applyAlignment="1" applyProtection="1">
      <alignment horizontal="center" vertical="center"/>
      <protection hidden="1"/>
    </xf>
    <xf numFmtId="2" fontId="62" fillId="7" borderId="0" xfId="0" applyNumberFormat="1" applyFont="1" applyFill="1" applyAlignment="1" applyProtection="1">
      <alignment horizontal="center" vertical="center"/>
      <protection hidden="1"/>
    </xf>
    <xf numFmtId="0" fontId="59" fillId="7" borderId="0" xfId="0" applyFont="1" applyFill="1" applyAlignment="1" applyProtection="1">
      <alignment vertical="center"/>
      <protection hidden="1"/>
    </xf>
    <xf numFmtId="0" fontId="59" fillId="3" borderId="0" xfId="0" applyFont="1" applyFill="1" applyAlignment="1" applyProtection="1">
      <alignment horizontal="center" vertical="center"/>
      <protection hidden="1"/>
    </xf>
    <xf numFmtId="0" fontId="59" fillId="3" borderId="0" xfId="0" applyFont="1" applyFill="1" applyAlignment="1" applyProtection="1">
      <alignment vertical="center"/>
      <protection hidden="1"/>
    </xf>
    <xf numFmtId="0" fontId="59" fillId="4" borderId="0" xfId="0" applyFont="1" applyFill="1" applyAlignment="1" applyProtection="1">
      <alignment vertical="center"/>
      <protection hidden="1"/>
    </xf>
    <xf numFmtId="0" fontId="43" fillId="7" borderId="0" xfId="0" applyFont="1" applyFill="1" applyAlignment="1">
      <alignment vertical="center"/>
    </xf>
    <xf numFmtId="0" fontId="59" fillId="7" borderId="0" xfId="0" applyFont="1" applyFill="1" applyAlignment="1">
      <alignment vertical="center"/>
    </xf>
    <xf numFmtId="0" fontId="42" fillId="19" borderId="0" xfId="0" applyFont="1" applyFill="1" applyAlignment="1">
      <alignment vertical="center"/>
    </xf>
    <xf numFmtId="2" fontId="42" fillId="19" borderId="0" xfId="0" applyNumberFormat="1" applyFont="1" applyFill="1" applyAlignment="1">
      <alignment horizontal="center" vertical="center"/>
    </xf>
    <xf numFmtId="0" fontId="61" fillId="19" borderId="0" xfId="0" applyFont="1" applyFill="1" applyAlignment="1">
      <alignment vertical="center"/>
    </xf>
    <xf numFmtId="0" fontId="0" fillId="15" borderId="0" xfId="0" applyFill="1" applyAlignment="1">
      <alignment vertical="center"/>
    </xf>
    <xf numFmtId="0" fontId="0" fillId="16" borderId="0" xfId="0" applyFill="1" applyAlignment="1">
      <alignment vertical="center"/>
    </xf>
    <xf numFmtId="0" fontId="38" fillId="0" borderId="0" xfId="0" applyFont="1" applyAlignment="1">
      <alignment vertical="center"/>
    </xf>
    <xf numFmtId="0" fontId="3" fillId="0" borderId="0" xfId="0" applyFont="1" applyAlignment="1">
      <alignment vertical="center"/>
    </xf>
    <xf numFmtId="0" fontId="38" fillId="0" borderId="0" xfId="0" applyFont="1" applyAlignment="1">
      <alignment horizontal="center" vertical="center"/>
    </xf>
    <xf numFmtId="0" fontId="60" fillId="19" borderId="0" xfId="0" applyFont="1" applyFill="1" applyAlignment="1">
      <alignment horizontal="center" vertical="center"/>
    </xf>
    <xf numFmtId="0" fontId="58" fillId="0" borderId="0" xfId="0" applyFont="1" applyAlignment="1">
      <alignment vertical="center"/>
    </xf>
    <xf numFmtId="0" fontId="47" fillId="0" borderId="0" xfId="0" applyFont="1" applyAlignment="1">
      <alignment horizontal="center" vertical="center"/>
    </xf>
    <xf numFmtId="0" fontId="1" fillId="19" borderId="0" xfId="0" applyFont="1" applyFill="1"/>
    <xf numFmtId="0" fontId="0" fillId="19" borderId="0" xfId="0" applyFill="1"/>
    <xf numFmtId="0" fontId="1" fillId="21" borderId="0" xfId="0" applyFont="1" applyFill="1"/>
    <xf numFmtId="0" fontId="0" fillId="21" borderId="0" xfId="0" applyFill="1"/>
    <xf numFmtId="0" fontId="1" fillId="22" borderId="0" xfId="0" applyFont="1" applyFill="1"/>
    <xf numFmtId="0" fontId="0" fillId="22" borderId="0" xfId="0" applyFill="1"/>
    <xf numFmtId="0" fontId="1" fillId="23" borderId="0" xfId="0" applyFont="1" applyFill="1"/>
    <xf numFmtId="0" fontId="0" fillId="23" borderId="0" xfId="0" applyFill="1"/>
    <xf numFmtId="0" fontId="7" fillId="5" borderId="0" xfId="0" applyFont="1" applyFill="1" applyAlignment="1" applyProtection="1">
      <alignment vertical="center"/>
      <protection hidden="1"/>
    </xf>
    <xf numFmtId="0" fontId="4" fillId="5" borderId="0" xfId="0" applyFont="1" applyFill="1" applyAlignment="1" applyProtection="1">
      <alignment vertical="center"/>
      <protection hidden="1"/>
    </xf>
    <xf numFmtId="0" fontId="13" fillId="5" borderId="0" xfId="0" applyFont="1" applyFill="1" applyAlignment="1" applyProtection="1">
      <alignment horizontal="right" vertical="center"/>
      <protection hidden="1"/>
    </xf>
    <xf numFmtId="0" fontId="5" fillId="5" borderId="0" xfId="0" applyFont="1" applyFill="1" applyAlignment="1" applyProtection="1">
      <alignment horizontal="center" vertical="center"/>
      <protection hidden="1"/>
    </xf>
    <xf numFmtId="0" fontId="5" fillId="5" borderId="0" xfId="0" applyFont="1" applyFill="1" applyAlignment="1" applyProtection="1">
      <alignment horizontal="left" vertical="center"/>
      <protection hidden="1"/>
    </xf>
    <xf numFmtId="0" fontId="4" fillId="3" borderId="0" xfId="0" applyFont="1" applyFill="1" applyAlignment="1" applyProtection="1">
      <alignment horizontal="center" vertical="center"/>
      <protection hidden="1"/>
    </xf>
    <xf numFmtId="0" fontId="4" fillId="3" borderId="0" xfId="0" applyFont="1" applyFill="1" applyAlignment="1" applyProtection="1">
      <alignment vertical="center"/>
      <protection hidden="1"/>
    </xf>
    <xf numFmtId="0" fontId="4" fillId="4" borderId="0" xfId="0" applyFont="1" applyFill="1" applyAlignment="1" applyProtection="1">
      <alignment vertical="center"/>
      <protection hidden="1"/>
    </xf>
    <xf numFmtId="0" fontId="32" fillId="5" borderId="0" xfId="0" applyFont="1" applyFill="1" applyAlignment="1">
      <alignment vertical="center"/>
    </xf>
    <xf numFmtId="0" fontId="4" fillId="5" borderId="0" xfId="0" applyFont="1" applyFill="1" applyAlignment="1">
      <alignment vertical="center"/>
    </xf>
    <xf numFmtId="0" fontId="6" fillId="7" borderId="0" xfId="0" applyFont="1" applyFill="1" applyAlignment="1" applyProtection="1">
      <alignment horizontal="left" vertical="center"/>
      <protection hidden="1"/>
    </xf>
    <xf numFmtId="0" fontId="4" fillId="7" borderId="0" xfId="0" applyFont="1" applyFill="1" applyAlignment="1" applyProtection="1">
      <alignment vertical="center"/>
      <protection hidden="1"/>
    </xf>
    <xf numFmtId="0" fontId="6" fillId="7" borderId="0" xfId="0" applyFont="1" applyFill="1" applyAlignment="1" applyProtection="1">
      <alignment vertical="center"/>
      <protection hidden="1"/>
    </xf>
    <xf numFmtId="0" fontId="13" fillId="7" borderId="0" xfId="0" applyFont="1" applyFill="1" applyAlignment="1" applyProtection="1">
      <alignment horizontal="right" vertical="center"/>
      <protection hidden="1"/>
    </xf>
    <xf numFmtId="2" fontId="13" fillId="7" borderId="0" xfId="0" applyNumberFormat="1" applyFont="1" applyFill="1" applyAlignment="1" applyProtection="1">
      <alignment horizontal="center" vertical="center"/>
      <protection hidden="1"/>
    </xf>
    <xf numFmtId="2" fontId="21" fillId="7" borderId="0" xfId="0" applyNumberFormat="1" applyFont="1" applyFill="1" applyAlignment="1" applyProtection="1">
      <alignment horizontal="center" vertical="center"/>
      <protection hidden="1"/>
    </xf>
    <xf numFmtId="0" fontId="32" fillId="7" borderId="0" xfId="0" applyFont="1" applyFill="1" applyAlignment="1">
      <alignment vertical="center"/>
    </xf>
    <xf numFmtId="0" fontId="14"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0" fontId="3" fillId="0" borderId="0" xfId="0" applyFont="1" applyAlignment="1" applyProtection="1">
      <alignment vertical="center"/>
      <protection hidden="1"/>
    </xf>
    <xf numFmtId="0" fontId="5" fillId="0" borderId="0" xfId="0" applyFont="1" applyAlignment="1" applyProtection="1">
      <alignment horizontal="left" vertical="center"/>
      <protection hidden="1"/>
    </xf>
    <xf numFmtId="0" fontId="5" fillId="0" borderId="0" xfId="0" applyFont="1" applyAlignment="1" applyProtection="1">
      <alignment horizontal="right" vertical="center"/>
      <protection hidden="1"/>
    </xf>
    <xf numFmtId="0" fontId="4" fillId="3" borderId="0" xfId="0" applyFont="1" applyFill="1" applyAlignment="1" applyProtection="1">
      <alignment horizontal="left" vertical="center"/>
      <protection hidden="1"/>
    </xf>
    <xf numFmtId="0" fontId="27" fillId="0" borderId="0" xfId="0" applyFont="1" applyAlignment="1">
      <alignment vertical="center"/>
    </xf>
    <xf numFmtId="0" fontId="4" fillId="0" borderId="0" xfId="0" applyFont="1" applyAlignment="1" applyProtection="1">
      <alignment vertical="center"/>
      <protection hidden="1"/>
    </xf>
    <xf numFmtId="0" fontId="5"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32" fillId="0" borderId="0" xfId="0" applyFont="1" applyAlignment="1">
      <alignment vertical="center"/>
    </xf>
    <xf numFmtId="0" fontId="4" fillId="0" borderId="0" xfId="0" applyFont="1" applyAlignment="1">
      <alignment vertical="center"/>
    </xf>
    <xf numFmtId="0" fontId="6" fillId="0" borderId="0" xfId="0" applyFont="1" applyAlignment="1" applyProtection="1">
      <alignment horizontal="left" vertical="center"/>
      <protection hidden="1"/>
    </xf>
    <xf numFmtId="14" fontId="15" fillId="0" borderId="0" xfId="0" applyNumberFormat="1" applyFont="1" applyAlignment="1">
      <alignment horizontal="right" vertical="center"/>
    </xf>
    <xf numFmtId="2" fontId="4" fillId="0" borderId="0" xfId="0" applyNumberFormat="1" applyFont="1" applyAlignment="1">
      <alignment vertical="center"/>
    </xf>
    <xf numFmtId="2" fontId="4" fillId="0" borderId="0" xfId="0" applyNumberFormat="1" applyFont="1" applyAlignment="1" applyProtection="1">
      <alignment vertical="center"/>
      <protection hidden="1"/>
    </xf>
    <xf numFmtId="0" fontId="60" fillId="0" borderId="0" xfId="0" applyFont="1" applyAlignment="1" applyProtection="1">
      <alignment horizontal="center" vertical="center"/>
      <protection hidden="1"/>
    </xf>
    <xf numFmtId="0" fontId="7" fillId="6" borderId="0" xfId="0" applyFont="1" applyFill="1" applyAlignment="1" applyProtection="1">
      <alignment vertical="center"/>
      <protection hidden="1"/>
    </xf>
    <xf numFmtId="0" fontId="4" fillId="6" borderId="0" xfId="0" applyFont="1" applyFill="1" applyAlignment="1" applyProtection="1">
      <alignment vertical="center"/>
      <protection hidden="1"/>
    </xf>
    <xf numFmtId="0" fontId="8" fillId="6" borderId="0" xfId="0" applyFont="1" applyFill="1" applyAlignment="1" applyProtection="1">
      <alignment horizontal="right" vertical="center"/>
      <protection hidden="1"/>
    </xf>
    <xf numFmtId="0" fontId="13" fillId="6" borderId="0" xfId="0" applyFont="1" applyFill="1" applyAlignment="1" applyProtection="1">
      <alignment horizontal="right" vertical="center"/>
      <protection hidden="1"/>
    </xf>
    <xf numFmtId="164" fontId="13" fillId="6" borderId="0" xfId="0" applyNumberFormat="1" applyFont="1" applyFill="1" applyAlignment="1" applyProtection="1">
      <alignment horizontal="center" vertical="center"/>
      <protection hidden="1"/>
    </xf>
    <xf numFmtId="0" fontId="5" fillId="6" borderId="0" xfId="0" applyFont="1" applyFill="1" applyAlignment="1" applyProtection="1">
      <alignment horizontal="center" vertical="center"/>
      <protection hidden="1"/>
    </xf>
    <xf numFmtId="0" fontId="32" fillId="6" borderId="0" xfId="0" applyFont="1" applyFill="1" applyAlignment="1">
      <alignment vertical="center"/>
    </xf>
    <xf numFmtId="0" fontId="4" fillId="6" borderId="0" xfId="0" applyFont="1" applyFill="1" applyAlignment="1">
      <alignment vertical="center"/>
    </xf>
    <xf numFmtId="166" fontId="3" fillId="2" borderId="0" xfId="0" applyNumberFormat="1" applyFont="1" applyFill="1" applyAlignment="1" applyProtection="1">
      <alignment vertical="center"/>
      <protection locked="0" hidden="1"/>
    </xf>
    <xf numFmtId="0" fontId="3" fillId="0" borderId="0" xfId="0" applyFont="1" applyAlignment="1" applyProtection="1">
      <alignment horizontal="left" vertical="center"/>
      <protection hidden="1"/>
    </xf>
    <xf numFmtId="0" fontId="3" fillId="0" borderId="0" xfId="0" applyFont="1" applyAlignment="1" applyProtection="1">
      <alignment horizontal="right" vertical="center"/>
      <protection hidden="1"/>
    </xf>
    <xf numFmtId="0" fontId="3" fillId="3" borderId="0" xfId="0" applyFont="1" applyFill="1" applyAlignment="1" applyProtection="1">
      <alignment vertical="center"/>
      <protection hidden="1"/>
    </xf>
    <xf numFmtId="0" fontId="3" fillId="4" borderId="0" xfId="0" applyFont="1" applyFill="1" applyAlignment="1" applyProtection="1">
      <alignment vertical="center"/>
      <protection hidden="1"/>
    </xf>
    <xf numFmtId="2" fontId="3" fillId="3" borderId="0" xfId="0" applyNumberFormat="1" applyFont="1" applyFill="1" applyAlignment="1" applyProtection="1">
      <alignment vertical="center"/>
      <protection hidden="1"/>
    </xf>
    <xf numFmtId="14" fontId="14" fillId="0" borderId="0" xfId="0" quotePrefix="1" applyNumberFormat="1" applyFont="1" applyAlignment="1" applyProtection="1">
      <alignment horizontal="left" vertical="center"/>
      <protection hidden="1"/>
    </xf>
    <xf numFmtId="10" fontId="4" fillId="0" borderId="0" xfId="0" applyNumberFormat="1" applyFont="1" applyAlignment="1" applyProtection="1">
      <alignment vertical="center"/>
      <protection hidden="1"/>
    </xf>
    <xf numFmtId="0" fontId="4" fillId="0" borderId="0" xfId="0" applyFont="1" applyAlignment="1" applyProtection="1">
      <alignment horizontal="left" vertical="center"/>
      <protection hidden="1"/>
    </xf>
    <xf numFmtId="0" fontId="54" fillId="0" borderId="0" xfId="0" applyFont="1" applyAlignment="1">
      <alignment vertical="center"/>
    </xf>
    <xf numFmtId="0" fontId="14" fillId="0" borderId="0" xfId="0" quotePrefix="1" applyFont="1" applyAlignment="1" applyProtection="1">
      <alignment horizontal="left" vertical="center"/>
      <protection hidden="1"/>
    </xf>
    <xf numFmtId="0" fontId="49" fillId="0" borderId="0" xfId="0" quotePrefix="1" applyFont="1" applyAlignment="1" applyProtection="1">
      <alignment horizontal="left" vertical="center"/>
      <protection hidden="1"/>
    </xf>
    <xf numFmtId="10" fontId="51" fillId="0" borderId="0" xfId="0" applyNumberFormat="1" applyFont="1" applyAlignment="1" applyProtection="1">
      <alignment vertical="center"/>
      <protection hidden="1"/>
    </xf>
    <xf numFmtId="0" fontId="51" fillId="0" borderId="0" xfId="0" applyFont="1" applyAlignment="1" applyProtection="1">
      <alignment vertical="center"/>
      <protection hidden="1"/>
    </xf>
    <xf numFmtId="166" fontId="52" fillId="0" borderId="0" xfId="0" applyNumberFormat="1" applyFont="1" applyAlignment="1" applyProtection="1">
      <alignment vertical="center"/>
      <protection hidden="1"/>
    </xf>
    <xf numFmtId="1" fontId="50" fillId="2" borderId="0" xfId="0" applyNumberFormat="1" applyFont="1" applyFill="1" applyAlignment="1" applyProtection="1">
      <alignment horizontal="left" vertical="center"/>
      <protection locked="0" hidden="1"/>
    </xf>
    <xf numFmtId="0" fontId="50" fillId="3" borderId="0" xfId="0" applyFont="1" applyFill="1" applyAlignment="1" applyProtection="1">
      <alignment vertical="center"/>
      <protection hidden="1"/>
    </xf>
    <xf numFmtId="0" fontId="50" fillId="4" borderId="0" xfId="0" applyFont="1" applyFill="1" applyAlignment="1" applyProtection="1">
      <alignment vertical="center"/>
      <protection hidden="1"/>
    </xf>
    <xf numFmtId="0" fontId="53" fillId="0" borderId="0" xfId="0" applyFont="1" applyAlignment="1">
      <alignment vertical="center"/>
    </xf>
    <xf numFmtId="0" fontId="50" fillId="0" borderId="0" xfId="0" applyFont="1" applyAlignment="1">
      <alignment vertical="center"/>
    </xf>
    <xf numFmtId="0" fontId="50" fillId="0" borderId="0" xfId="0" applyFont="1" applyAlignment="1" applyProtection="1">
      <alignment vertical="center"/>
      <protection hidden="1"/>
    </xf>
    <xf numFmtId="0" fontId="2" fillId="0" borderId="0" xfId="8" applyFont="1" applyAlignment="1" applyProtection="1">
      <alignment horizontal="right" vertical="center"/>
      <protection hidden="1"/>
    </xf>
    <xf numFmtId="166" fontId="3" fillId="0" borderId="0" xfId="0" applyNumberFormat="1" applyFont="1" applyAlignment="1" applyProtection="1">
      <alignment vertical="center"/>
      <protection hidden="1"/>
    </xf>
    <xf numFmtId="166" fontId="3" fillId="0" borderId="0" xfId="0" applyNumberFormat="1" applyFont="1" applyAlignment="1" applyProtection="1">
      <alignment vertical="center"/>
      <protection locked="0" hidden="1"/>
    </xf>
    <xf numFmtId="2" fontId="28" fillId="0" borderId="0" xfId="0" applyNumberFormat="1" applyFont="1" applyAlignment="1" applyProtection="1">
      <alignment vertical="center"/>
      <protection hidden="1"/>
    </xf>
    <xf numFmtId="0" fontId="28" fillId="0" borderId="0" xfId="0" applyFont="1" applyAlignment="1" applyProtection="1">
      <alignment vertical="center"/>
      <protection hidden="1"/>
    </xf>
    <xf numFmtId="14" fontId="31" fillId="0" borderId="0" xfId="0" quotePrefix="1" applyNumberFormat="1" applyFont="1" applyAlignment="1" applyProtection="1">
      <alignment horizontal="center" vertical="center"/>
      <protection hidden="1"/>
    </xf>
    <xf numFmtId="9" fontId="4" fillId="0" borderId="0" xfId="0" applyNumberFormat="1" applyFont="1" applyAlignment="1" applyProtection="1">
      <alignment vertical="center"/>
      <protection hidden="1"/>
    </xf>
    <xf numFmtId="1" fontId="3" fillId="0" borderId="0" xfId="0" applyNumberFormat="1" applyFont="1" applyAlignment="1" applyProtection="1">
      <alignment horizontal="left" vertical="center"/>
      <protection hidden="1"/>
    </xf>
    <xf numFmtId="164" fontId="3" fillId="0" borderId="0" xfId="0" applyNumberFormat="1" applyFont="1" applyAlignment="1" applyProtection="1">
      <alignment horizontal="left" vertical="center"/>
      <protection hidden="1"/>
    </xf>
    <xf numFmtId="0" fontId="9" fillId="0" borderId="0" xfId="0" applyFont="1" applyAlignment="1" applyProtection="1">
      <alignment vertical="center"/>
      <protection hidden="1"/>
    </xf>
    <xf numFmtId="0" fontId="3" fillId="2" borderId="0" xfId="0" applyFont="1" applyFill="1" applyAlignment="1" applyProtection="1">
      <alignment horizontal="left" vertical="center"/>
      <protection locked="0" hidden="1"/>
    </xf>
    <xf numFmtId="14" fontId="14" fillId="0" borderId="0" xfId="0" quotePrefix="1" applyNumberFormat="1" applyFont="1" applyAlignment="1" applyProtection="1">
      <alignment vertical="center"/>
      <protection hidden="1"/>
    </xf>
    <xf numFmtId="0" fontId="8" fillId="0" borderId="0" xfId="0" applyFont="1" applyAlignment="1" applyProtection="1">
      <alignment vertical="center"/>
      <protection hidden="1"/>
    </xf>
    <xf numFmtId="164" fontId="4" fillId="3" borderId="0" xfId="0" applyNumberFormat="1" applyFont="1" applyFill="1" applyAlignment="1" applyProtection="1">
      <alignment vertical="center"/>
      <protection hidden="1"/>
    </xf>
    <xf numFmtId="164" fontId="3" fillId="2" borderId="0" xfId="0" applyNumberFormat="1" applyFont="1" applyFill="1" applyAlignment="1" applyProtection="1">
      <alignment vertical="center"/>
      <protection locked="0" hidden="1"/>
    </xf>
    <xf numFmtId="2" fontId="3" fillId="0" borderId="0" xfId="0" applyNumberFormat="1" applyFont="1" applyAlignment="1" applyProtection="1">
      <alignment vertical="center"/>
      <protection hidden="1"/>
    </xf>
    <xf numFmtId="0" fontId="4" fillId="8" borderId="0" xfId="0" applyFont="1" applyFill="1" applyAlignment="1" applyProtection="1">
      <alignment horizontal="center" vertical="center"/>
      <protection hidden="1"/>
    </xf>
    <xf numFmtId="0" fontId="3" fillId="8" borderId="0" xfId="0" applyFont="1" applyFill="1" applyAlignment="1" applyProtection="1">
      <alignment horizontal="center" vertical="center"/>
      <protection hidden="1"/>
    </xf>
    <xf numFmtId="0" fontId="9" fillId="0" borderId="0" xfId="0" applyFont="1" applyAlignment="1" applyProtection="1">
      <alignment horizontal="center" vertical="center"/>
      <protection hidden="1"/>
    </xf>
    <xf numFmtId="0" fontId="1" fillId="0" borderId="0" xfId="0" applyFont="1" applyAlignment="1">
      <alignment vertical="center"/>
    </xf>
    <xf numFmtId="0" fontId="3" fillId="8" borderId="0" xfId="0" applyFont="1" applyFill="1" applyAlignment="1" applyProtection="1">
      <alignment vertical="center"/>
      <protection hidden="1"/>
    </xf>
    <xf numFmtId="164" fontId="3" fillId="4" borderId="0" xfId="0" applyNumberFormat="1" applyFont="1" applyFill="1" applyAlignment="1" applyProtection="1">
      <alignment vertical="center"/>
      <protection hidden="1"/>
    </xf>
    <xf numFmtId="0" fontId="4" fillId="8" borderId="0" xfId="0" applyFont="1" applyFill="1" applyAlignment="1" applyProtection="1">
      <alignment vertical="center"/>
      <protection hidden="1"/>
    </xf>
    <xf numFmtId="0" fontId="2" fillId="0" borderId="0" xfId="0" applyFont="1" applyAlignment="1" applyProtection="1">
      <alignment horizontal="right" vertical="center"/>
      <protection hidden="1"/>
    </xf>
    <xf numFmtId="0" fontId="5" fillId="8" borderId="0" xfId="0" quotePrefix="1" applyFont="1" applyFill="1" applyAlignment="1" applyProtection="1">
      <alignment horizontal="center" vertical="center"/>
      <protection hidden="1"/>
    </xf>
    <xf numFmtId="2" fontId="10" fillId="8" borderId="0" xfId="0" applyNumberFormat="1" applyFont="1" applyFill="1" applyAlignment="1" applyProtection="1">
      <alignment horizontal="center" vertical="center"/>
      <protection hidden="1"/>
    </xf>
    <xf numFmtId="0" fontId="8" fillId="3" borderId="0" xfId="0" applyFont="1" applyFill="1" applyAlignment="1" applyProtection="1">
      <alignment horizontal="center" vertical="center"/>
      <protection hidden="1"/>
    </xf>
    <xf numFmtId="0" fontId="9" fillId="3" borderId="0" xfId="0" applyFont="1" applyFill="1" applyAlignment="1" applyProtection="1">
      <alignment horizontal="center" vertical="center"/>
      <protection hidden="1"/>
    </xf>
    <xf numFmtId="164" fontId="3" fillId="3" borderId="0" xfId="0" applyNumberFormat="1" applyFont="1" applyFill="1" applyAlignment="1" applyProtection="1">
      <alignment vertical="center"/>
      <protection hidden="1"/>
    </xf>
    <xf numFmtId="0" fontId="4" fillId="12" borderId="0" xfId="0" applyFont="1" applyFill="1" applyAlignment="1" applyProtection="1">
      <alignment horizontal="center" vertical="center"/>
      <protection hidden="1"/>
    </xf>
    <xf numFmtId="1" fontId="3" fillId="2" borderId="0" xfId="0" applyNumberFormat="1" applyFont="1" applyFill="1" applyAlignment="1" applyProtection="1">
      <alignment vertical="center"/>
      <protection locked="0" hidden="1"/>
    </xf>
    <xf numFmtId="0" fontId="10" fillId="8" borderId="0" xfId="0" applyFont="1" applyFill="1" applyAlignment="1" applyProtection="1">
      <alignment horizontal="center" vertical="center"/>
      <protection hidden="1"/>
    </xf>
    <xf numFmtId="0" fontId="17" fillId="0" borderId="0" xfId="0" applyFont="1" applyAlignment="1" applyProtection="1">
      <alignment vertical="center"/>
      <protection locked="0" hidden="1"/>
    </xf>
    <xf numFmtId="0" fontId="17" fillId="0" borderId="0" xfId="0" applyFont="1" applyAlignment="1" applyProtection="1">
      <alignment vertical="center"/>
      <protection locked="0"/>
    </xf>
    <xf numFmtId="0" fontId="17" fillId="0" borderId="0" xfId="0" applyFont="1" applyAlignment="1">
      <alignment vertical="center"/>
    </xf>
    <xf numFmtId="0" fontId="4" fillId="8" borderId="0" xfId="0" quotePrefix="1" applyFont="1" applyFill="1" applyAlignment="1" applyProtection="1">
      <alignment horizontal="center" vertical="center"/>
      <protection hidden="1"/>
    </xf>
    <xf numFmtId="0" fontId="12" fillId="0" borderId="0" xfId="0" applyFont="1" applyAlignment="1" applyProtection="1">
      <alignment vertical="center"/>
      <protection hidden="1"/>
    </xf>
    <xf numFmtId="0" fontId="12" fillId="0" borderId="0" xfId="0" applyFont="1" applyAlignment="1" applyProtection="1">
      <alignment horizontal="right" vertical="center"/>
      <protection hidden="1"/>
    </xf>
    <xf numFmtId="0" fontId="4" fillId="0" borderId="0" xfId="0" applyFont="1" applyAlignment="1" applyProtection="1">
      <alignment horizontal="right" vertical="center"/>
      <protection hidden="1"/>
    </xf>
    <xf numFmtId="0" fontId="20" fillId="0" borderId="0" xfId="0" applyFont="1" applyAlignment="1">
      <alignment vertical="center"/>
    </xf>
    <xf numFmtId="0" fontId="20" fillId="0" borderId="0" xfId="0" applyFont="1" applyAlignment="1" applyProtection="1">
      <alignment vertical="center"/>
      <protection hidden="1"/>
    </xf>
    <xf numFmtId="0" fontId="10" fillId="8" borderId="0" xfId="0" applyFont="1" applyFill="1" applyAlignment="1" applyProtection="1">
      <alignment horizontal="left" vertical="center"/>
      <protection hidden="1"/>
    </xf>
    <xf numFmtId="166" fontId="3" fillId="0" borderId="0" xfId="2" applyFill="1" applyAlignment="1" applyProtection="1">
      <alignment vertical="center"/>
      <protection hidden="1"/>
    </xf>
    <xf numFmtId="0" fontId="14" fillId="0" borderId="0" xfId="0" applyFont="1" applyAlignment="1" applyProtection="1">
      <alignment horizontal="center" vertical="center"/>
      <protection hidden="1"/>
    </xf>
    <xf numFmtId="10" fontId="3" fillId="0" borderId="0" xfId="0" applyNumberFormat="1" applyFont="1" applyAlignment="1" applyProtection="1">
      <alignment vertical="center"/>
      <protection hidden="1"/>
    </xf>
    <xf numFmtId="165" fontId="3" fillId="0" borderId="0" xfId="0" applyNumberFormat="1" applyFont="1" applyAlignment="1" applyProtection="1">
      <alignment vertical="center"/>
      <protection hidden="1"/>
    </xf>
    <xf numFmtId="0" fontId="16" fillId="0" borderId="0" xfId="0" applyFont="1" applyAlignment="1" applyProtection="1">
      <alignment horizontal="left" vertical="center"/>
      <protection hidden="1"/>
    </xf>
    <xf numFmtId="0" fontId="30" fillId="0" borderId="0" xfId="0" applyFont="1" applyAlignment="1" applyProtection="1">
      <alignment vertical="center"/>
      <protection hidden="1"/>
    </xf>
    <xf numFmtId="0" fontId="5" fillId="8" borderId="0" xfId="0" applyFont="1" applyFill="1" applyAlignment="1" applyProtection="1">
      <alignment horizontal="center" vertical="center"/>
      <protection hidden="1"/>
    </xf>
    <xf numFmtId="165" fontId="3" fillId="3" borderId="0" xfId="0" applyNumberFormat="1" applyFont="1" applyFill="1" applyAlignment="1" applyProtection="1">
      <alignment vertical="center"/>
      <protection hidden="1"/>
    </xf>
    <xf numFmtId="0" fontId="14" fillId="0" borderId="0" xfId="0" applyFont="1" applyAlignment="1" applyProtection="1">
      <alignment vertical="center"/>
      <protection hidden="1"/>
    </xf>
    <xf numFmtId="0" fontId="10" fillId="0" borderId="0" xfId="0" applyFont="1" applyAlignment="1" applyProtection="1">
      <alignment horizontal="left" vertical="center"/>
      <protection hidden="1"/>
    </xf>
    <xf numFmtId="166" fontId="3" fillId="0" borderId="0" xfId="0" applyNumberFormat="1" applyFont="1" applyAlignment="1">
      <alignment vertical="center"/>
    </xf>
    <xf numFmtId="0" fontId="32" fillId="8" borderId="0" xfId="0" applyFont="1" applyFill="1" applyAlignment="1" applyProtection="1">
      <alignment horizontal="left" vertical="center"/>
      <protection hidden="1"/>
    </xf>
    <xf numFmtId="2" fontId="9" fillId="0" borderId="0" xfId="0" applyNumberFormat="1" applyFont="1" applyAlignment="1" applyProtection="1">
      <alignment horizontal="center" vertical="center"/>
      <protection hidden="1"/>
    </xf>
    <xf numFmtId="166" fontId="3" fillId="18" borderId="0" xfId="0" applyNumberFormat="1" applyFont="1" applyFill="1" applyAlignment="1" applyProtection="1">
      <alignment vertical="center"/>
      <protection locked="0" hidden="1"/>
    </xf>
    <xf numFmtId="0" fontId="3" fillId="16" borderId="0" xfId="0" applyFont="1" applyFill="1" applyAlignment="1" applyProtection="1">
      <alignment vertical="center"/>
      <protection hidden="1"/>
    </xf>
    <xf numFmtId="0" fontId="5" fillId="0" borderId="0" xfId="0" applyFont="1" applyAlignment="1" applyProtection="1">
      <alignment horizontal="center" vertical="center"/>
      <protection hidden="1"/>
    </xf>
    <xf numFmtId="0" fontId="5" fillId="3" borderId="0" xfId="0" applyFont="1" applyFill="1" applyAlignment="1" applyProtection="1">
      <alignment horizontal="center" vertical="center"/>
      <protection hidden="1"/>
    </xf>
    <xf numFmtId="0" fontId="5" fillId="15" borderId="0" xfId="0" applyFont="1" applyFill="1" applyAlignment="1" applyProtection="1">
      <alignment vertical="center"/>
      <protection hidden="1"/>
    </xf>
    <xf numFmtId="0" fontId="5" fillId="4"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33" fillId="0" borderId="0" xfId="0" applyFont="1" applyAlignment="1">
      <alignment vertical="center"/>
    </xf>
    <xf numFmtId="0" fontId="5" fillId="0" borderId="0" xfId="0" applyFont="1" applyAlignment="1">
      <alignment vertical="center"/>
    </xf>
    <xf numFmtId="170" fontId="19" fillId="0" borderId="0" xfId="0" applyNumberFormat="1" applyFont="1" applyAlignment="1" applyProtection="1">
      <alignment horizontal="center" vertical="center"/>
      <protection hidden="1"/>
    </xf>
    <xf numFmtId="170" fontId="8" fillId="0" borderId="0" xfId="0" applyNumberFormat="1" applyFont="1" applyAlignment="1" applyProtection="1">
      <alignment horizontal="center" vertical="center"/>
      <protection hidden="1"/>
    </xf>
    <xf numFmtId="164" fontId="9" fillId="0" borderId="0" xfId="0" applyNumberFormat="1" applyFont="1" applyAlignment="1" applyProtection="1">
      <alignment horizontal="center" vertical="center"/>
      <protection hidden="1"/>
    </xf>
    <xf numFmtId="0" fontId="3" fillId="3" borderId="0" xfId="0" applyFont="1" applyFill="1" applyAlignment="1" applyProtection="1">
      <alignment horizontal="center" vertical="center"/>
      <protection hidden="1"/>
    </xf>
    <xf numFmtId="2" fontId="7" fillId="5" borderId="0" xfId="0" applyNumberFormat="1" applyFont="1" applyFill="1" applyAlignment="1" applyProtection="1">
      <alignment horizontal="center" vertical="center"/>
      <protection hidden="1"/>
    </xf>
    <xf numFmtId="0" fontId="8" fillId="5" borderId="0" xfId="0" applyFont="1" applyFill="1" applyAlignment="1" applyProtection="1">
      <alignment horizontal="center" vertical="center"/>
      <protection hidden="1"/>
    </xf>
    <xf numFmtId="0" fontId="8" fillId="0" borderId="0" xfId="0" applyFont="1" applyAlignment="1" applyProtection="1">
      <alignment horizontal="right" vertical="center"/>
      <protection hidden="1"/>
    </xf>
    <xf numFmtId="164" fontId="8" fillId="0" borderId="0" xfId="0" applyNumberFormat="1" applyFont="1" applyAlignment="1" applyProtection="1">
      <alignment horizontal="right" vertical="center"/>
      <protection hidden="1"/>
    </xf>
    <xf numFmtId="0" fontId="3" fillId="3" borderId="0" xfId="0" applyFont="1" applyFill="1" applyAlignment="1" applyProtection="1">
      <alignment horizontal="right" vertical="center"/>
      <protection hidden="1"/>
    </xf>
    <xf numFmtId="9" fontId="3" fillId="3" borderId="0" xfId="0" applyNumberFormat="1" applyFont="1" applyFill="1" applyAlignment="1" applyProtection="1">
      <alignment vertical="center"/>
      <protection hidden="1"/>
    </xf>
    <xf numFmtId="0" fontId="11" fillId="4" borderId="0" xfId="0" applyFont="1" applyFill="1" applyAlignment="1" applyProtection="1">
      <alignment vertical="center"/>
      <protection hidden="1"/>
    </xf>
    <xf numFmtId="16" fontId="4" fillId="8" borderId="0" xfId="0" quotePrefix="1" applyNumberFormat="1" applyFont="1" applyFill="1" applyAlignment="1" applyProtection="1">
      <alignment horizontal="center" vertical="center"/>
      <protection hidden="1"/>
    </xf>
    <xf numFmtId="0" fontId="11" fillId="3" borderId="0" xfId="0" applyFont="1" applyFill="1" applyAlignment="1" applyProtection="1">
      <alignment horizontal="center" vertical="center"/>
      <protection hidden="1"/>
    </xf>
    <xf numFmtId="0" fontId="11" fillId="3" borderId="0" xfId="0" applyFont="1" applyFill="1" applyAlignment="1" applyProtection="1">
      <alignment vertical="center"/>
      <protection hidden="1"/>
    </xf>
    <xf numFmtId="0" fontId="18" fillId="8" borderId="0" xfId="0" applyFont="1" applyFill="1" applyAlignment="1" applyProtection="1">
      <alignment vertical="center"/>
      <protection hidden="1"/>
    </xf>
    <xf numFmtId="0" fontId="3" fillId="2" borderId="0" xfId="0" applyFont="1" applyFill="1" applyAlignment="1" applyProtection="1">
      <alignment vertical="center"/>
      <protection hidden="1"/>
    </xf>
    <xf numFmtId="164" fontId="3" fillId="0" borderId="0" xfId="0" applyNumberFormat="1" applyFont="1" applyAlignment="1" applyProtection="1">
      <alignment vertical="center"/>
      <protection hidden="1"/>
    </xf>
    <xf numFmtId="1" fontId="3" fillId="3" borderId="0" xfId="0" applyNumberFormat="1" applyFont="1" applyFill="1" applyAlignment="1" applyProtection="1">
      <alignment vertical="center"/>
      <protection hidden="1"/>
    </xf>
    <xf numFmtId="164" fontId="11" fillId="4" borderId="0" xfId="0" applyNumberFormat="1" applyFont="1" applyFill="1" applyAlignment="1" applyProtection="1">
      <alignment vertical="center"/>
      <protection hidden="1"/>
    </xf>
    <xf numFmtId="166" fontId="3" fillId="2" borderId="0" xfId="2" applyAlignment="1">
      <alignment vertical="center"/>
      <protection locked="0" hidden="1"/>
    </xf>
    <xf numFmtId="166" fontId="4" fillId="0" borderId="0" xfId="0" applyNumberFormat="1" applyFont="1" applyAlignment="1">
      <alignment vertical="center"/>
    </xf>
    <xf numFmtId="1" fontId="28" fillId="0" borderId="0" xfId="0" applyNumberFormat="1" applyFont="1" applyAlignment="1" applyProtection="1">
      <alignment vertical="center"/>
      <protection hidden="1"/>
    </xf>
    <xf numFmtId="0" fontId="3" fillId="2" borderId="0" xfId="0" applyFont="1" applyFill="1" applyAlignment="1" applyProtection="1">
      <alignment vertical="center"/>
      <protection locked="0" hidden="1"/>
    </xf>
    <xf numFmtId="1" fontId="3" fillId="0" borderId="0" xfId="0" applyNumberFormat="1" applyFont="1" applyAlignment="1" applyProtection="1">
      <alignment vertical="center"/>
      <protection hidden="1"/>
    </xf>
    <xf numFmtId="0" fontId="28" fillId="0" borderId="0" xfId="0" applyFont="1" applyAlignment="1" applyProtection="1">
      <alignment vertical="center"/>
      <protection locked="0" hidden="1"/>
    </xf>
    <xf numFmtId="1" fontId="9" fillId="0" borderId="0" xfId="0" applyNumberFormat="1" applyFont="1" applyAlignment="1" applyProtection="1">
      <alignment horizontal="center" vertical="center"/>
      <protection hidden="1"/>
    </xf>
    <xf numFmtId="164" fontId="4" fillId="0" borderId="0" xfId="0" applyNumberFormat="1" applyFont="1" applyAlignment="1" applyProtection="1">
      <alignment horizontal="center" vertical="center"/>
      <protection hidden="1"/>
    </xf>
    <xf numFmtId="164" fontId="3" fillId="0" borderId="0" xfId="0" applyNumberFormat="1" applyFont="1" applyAlignment="1" applyProtection="1">
      <alignment horizontal="center" vertical="center"/>
      <protection hidden="1"/>
    </xf>
    <xf numFmtId="0" fontId="14" fillId="0" borderId="0" xfId="0" applyFont="1" applyAlignment="1">
      <alignment horizontal="left" vertical="center"/>
    </xf>
    <xf numFmtId="0" fontId="8" fillId="0" borderId="0" xfId="0" applyFont="1" applyAlignment="1" applyProtection="1">
      <alignment horizontal="center" vertical="center"/>
      <protection hidden="1"/>
    </xf>
    <xf numFmtId="0" fontId="5" fillId="8" borderId="0" xfId="0" applyFont="1" applyFill="1" applyAlignment="1" applyProtection="1">
      <alignment vertical="center"/>
      <protection hidden="1"/>
    </xf>
    <xf numFmtId="0" fontId="8" fillId="8" borderId="0" xfId="0" applyFont="1" applyFill="1" applyAlignment="1" applyProtection="1">
      <alignment vertical="center"/>
      <protection hidden="1"/>
    </xf>
    <xf numFmtId="0" fontId="8" fillId="3" borderId="0" xfId="0" applyFont="1" applyFill="1" applyAlignment="1" applyProtection="1">
      <alignment vertical="center"/>
      <protection hidden="1"/>
    </xf>
    <xf numFmtId="164" fontId="9" fillId="2" borderId="0" xfId="0" applyNumberFormat="1" applyFont="1" applyFill="1" applyAlignment="1" applyProtection="1">
      <alignment horizontal="center" vertical="center"/>
      <protection locked="0" hidden="1"/>
    </xf>
    <xf numFmtId="0" fontId="13" fillId="17" borderId="0" xfId="0" applyFont="1" applyFill="1" applyAlignment="1" applyProtection="1">
      <alignment horizontal="right" vertical="center"/>
      <protection hidden="1"/>
    </xf>
    <xf numFmtId="2" fontId="7" fillId="17" borderId="0" xfId="0" applyNumberFormat="1" applyFont="1" applyFill="1" applyAlignment="1" applyProtection="1">
      <alignment horizontal="center" vertical="center"/>
      <protection hidden="1"/>
    </xf>
    <xf numFmtId="0" fontId="4" fillId="0" borderId="0" xfId="0" applyFont="1" applyAlignment="1">
      <alignment horizontal="center" vertical="center"/>
    </xf>
    <xf numFmtId="0" fontId="3" fillId="0" borderId="0" xfId="0" applyFont="1" applyAlignment="1">
      <alignment horizontal="center" vertical="center"/>
    </xf>
    <xf numFmtId="0" fontId="4" fillId="3" borderId="0" xfId="0" applyFont="1" applyFill="1" applyAlignment="1">
      <alignment horizontal="center" vertical="center"/>
    </xf>
    <xf numFmtId="0" fontId="4" fillId="3" borderId="0" xfId="0" applyFont="1" applyFill="1" applyAlignment="1">
      <alignment vertical="center"/>
    </xf>
    <xf numFmtId="0" fontId="4" fillId="4" borderId="0" xfId="0" applyFont="1" applyFill="1" applyAlignment="1">
      <alignment vertical="center"/>
    </xf>
    <xf numFmtId="2" fontId="33" fillId="5" borderId="0" xfId="0" applyNumberFormat="1" applyFont="1" applyFill="1" applyAlignment="1" applyProtection="1">
      <alignment horizontal="center" vertical="center"/>
      <protection hidden="1"/>
    </xf>
    <xf numFmtId="0" fontId="6" fillId="14" borderId="0" xfId="8" applyFont="1" applyFill="1" applyAlignment="1" applyProtection="1">
      <alignment horizontal="left" vertical="center"/>
      <protection hidden="1"/>
    </xf>
    <xf numFmtId="0" fontId="4" fillId="14" borderId="0" xfId="8" applyFont="1" applyFill="1" applyAlignment="1" applyProtection="1">
      <alignment vertical="center"/>
      <protection hidden="1"/>
    </xf>
    <xf numFmtId="0" fontId="6" fillId="14" borderId="0" xfId="8" applyFont="1" applyFill="1" applyAlignment="1" applyProtection="1">
      <alignment vertical="center"/>
      <protection hidden="1"/>
    </xf>
    <xf numFmtId="0" fontId="13" fillId="14" borderId="0" xfId="8" applyFont="1" applyFill="1" applyAlignment="1" applyProtection="1">
      <alignment horizontal="right" vertical="center"/>
      <protection hidden="1"/>
    </xf>
    <xf numFmtId="2" fontId="13" fillId="14" borderId="0" xfId="8" applyNumberFormat="1" applyFont="1" applyFill="1" applyAlignment="1" applyProtection="1">
      <alignment horizontal="center" vertical="center"/>
      <protection hidden="1"/>
    </xf>
    <xf numFmtId="0" fontId="4" fillId="14" borderId="0" xfId="8" applyFont="1" applyFill="1" applyAlignment="1" applyProtection="1">
      <alignment horizontal="center" vertical="center"/>
      <protection hidden="1"/>
    </xf>
    <xf numFmtId="164" fontId="17" fillId="14" borderId="0" xfId="8" applyNumberFormat="1" applyFont="1" applyFill="1" applyAlignment="1" applyProtection="1">
      <alignment horizontal="center" vertical="center"/>
      <protection hidden="1"/>
    </xf>
    <xf numFmtId="0" fontId="14" fillId="0" borderId="0" xfId="8" applyFont="1" applyAlignment="1" applyProtection="1">
      <alignment horizontal="left" vertical="center"/>
      <protection hidden="1"/>
    </xf>
    <xf numFmtId="0" fontId="8" fillId="0" borderId="0" xfId="8" applyFont="1" applyAlignment="1" applyProtection="1">
      <alignment horizontal="left" vertical="center"/>
      <protection hidden="1"/>
    </xf>
    <xf numFmtId="0" fontId="3" fillId="0" borderId="0" xfId="8" applyFont="1" applyAlignment="1" applyProtection="1">
      <alignment vertical="center"/>
      <protection hidden="1"/>
    </xf>
    <xf numFmtId="0" fontId="8" fillId="0" borderId="0" xfId="8" applyFont="1" applyAlignment="1" applyProtection="1">
      <alignment horizontal="center" vertical="center"/>
      <protection hidden="1"/>
    </xf>
    <xf numFmtId="0" fontId="3" fillId="0" borderId="0" xfId="8" applyFont="1" applyAlignment="1" applyProtection="1">
      <alignment horizontal="center" vertical="center"/>
      <protection hidden="1"/>
    </xf>
    <xf numFmtId="0" fontId="5" fillId="0" borderId="0" xfId="8" applyFont="1" applyAlignment="1" applyProtection="1">
      <alignment horizontal="left" vertical="center"/>
      <protection hidden="1"/>
    </xf>
    <xf numFmtId="0" fontId="4" fillId="3" borderId="0" xfId="8" applyFont="1" applyFill="1" applyAlignment="1" applyProtection="1">
      <alignment horizontal="left" vertical="center"/>
      <protection hidden="1"/>
    </xf>
    <xf numFmtId="0" fontId="4" fillId="3" borderId="0" xfId="8" applyFont="1" applyFill="1" applyAlignment="1" applyProtection="1">
      <alignment vertical="center"/>
      <protection hidden="1"/>
    </xf>
    <xf numFmtId="0" fontId="4" fillId="4" borderId="0" xfId="8" applyFont="1" applyFill="1" applyAlignment="1" applyProtection="1">
      <alignment vertical="center"/>
      <protection hidden="1"/>
    </xf>
    <xf numFmtId="0" fontId="4" fillId="0" borderId="0" xfId="8" applyFont="1" applyAlignment="1" applyProtection="1">
      <alignment vertical="center"/>
      <protection hidden="1"/>
    </xf>
    <xf numFmtId="0" fontId="5" fillId="0" borderId="0" xfId="8" applyFont="1" applyAlignment="1" applyProtection="1">
      <alignment vertical="center"/>
      <protection hidden="1"/>
    </xf>
    <xf numFmtId="0" fontId="4" fillId="0" borderId="0" xfId="8" applyFont="1" applyAlignment="1" applyProtection="1">
      <alignment horizontal="center" vertical="center"/>
      <protection hidden="1"/>
    </xf>
    <xf numFmtId="0" fontId="4" fillId="3" borderId="0" xfId="8" applyFont="1" applyFill="1" applyAlignment="1" applyProtection="1">
      <alignment horizontal="center" vertical="center"/>
      <protection hidden="1"/>
    </xf>
    <xf numFmtId="0" fontId="6" fillId="0" borderId="0" xfId="8" applyFont="1" applyAlignment="1" applyProtection="1">
      <alignment horizontal="left" vertical="center"/>
      <protection hidden="1"/>
    </xf>
    <xf numFmtId="0" fontId="5" fillId="0" borderId="0" xfId="8" applyFont="1" applyAlignment="1" applyProtection="1">
      <alignment horizontal="right" vertical="center"/>
      <protection hidden="1"/>
    </xf>
    <xf numFmtId="0" fontId="13" fillId="0" borderId="0" xfId="8" applyFont="1" applyAlignment="1" applyProtection="1">
      <alignment horizontal="left" vertical="center"/>
      <protection hidden="1"/>
    </xf>
    <xf numFmtId="0" fontId="1" fillId="0" borderId="0" xfId="8" applyAlignment="1" applyProtection="1">
      <alignment horizontal="center" vertical="center"/>
      <protection hidden="1"/>
    </xf>
    <xf numFmtId="14" fontId="15" fillId="0" borderId="0" xfId="8" applyNumberFormat="1" applyFont="1" applyAlignment="1" applyProtection="1">
      <alignment vertical="center"/>
      <protection hidden="1"/>
    </xf>
    <xf numFmtId="0" fontId="4" fillId="0" borderId="0" xfId="8" applyFont="1" applyAlignment="1" applyProtection="1">
      <alignment horizontal="left" vertical="center"/>
      <protection hidden="1"/>
    </xf>
    <xf numFmtId="0" fontId="7" fillId="6" borderId="0" xfId="8" applyFont="1" applyFill="1" applyAlignment="1" applyProtection="1">
      <alignment vertical="center"/>
      <protection hidden="1"/>
    </xf>
    <xf numFmtId="0" fontId="4" fillId="6" borderId="0" xfId="8" applyFont="1" applyFill="1" applyAlignment="1" applyProtection="1">
      <alignment vertical="center"/>
      <protection hidden="1"/>
    </xf>
    <xf numFmtId="0" fontId="13" fillId="6" borderId="0" xfId="8" applyFont="1" applyFill="1" applyAlignment="1" applyProtection="1">
      <alignment horizontal="right" vertical="center"/>
      <protection hidden="1"/>
    </xf>
    <xf numFmtId="164" fontId="13" fillId="6" borderId="0" xfId="8" applyNumberFormat="1" applyFont="1" applyFill="1" applyAlignment="1" applyProtection="1">
      <alignment horizontal="center" vertical="center"/>
      <protection hidden="1"/>
    </xf>
    <xf numFmtId="0" fontId="4" fillId="6" borderId="0" xfId="8" applyFont="1" applyFill="1" applyAlignment="1" applyProtection="1">
      <alignment horizontal="center" vertical="center"/>
      <protection hidden="1"/>
    </xf>
    <xf numFmtId="0" fontId="5" fillId="6" borderId="0" xfId="8" applyFont="1" applyFill="1" applyAlignment="1" applyProtection="1">
      <alignment horizontal="center" vertical="center"/>
      <protection hidden="1"/>
    </xf>
    <xf numFmtId="0" fontId="8" fillId="6" borderId="0" xfId="8" applyFont="1" applyFill="1" applyAlignment="1" applyProtection="1">
      <alignment horizontal="center" vertical="center"/>
      <protection hidden="1"/>
    </xf>
    <xf numFmtId="0" fontId="8" fillId="0" borderId="0" xfId="8" applyFont="1" applyAlignment="1" applyProtection="1">
      <alignment vertical="center"/>
      <protection hidden="1"/>
    </xf>
    <xf numFmtId="0" fontId="4" fillId="0" borderId="0" xfId="8" quotePrefix="1" applyFont="1" applyAlignment="1" applyProtection="1">
      <alignment vertical="center"/>
      <protection hidden="1"/>
    </xf>
    <xf numFmtId="166" fontId="3" fillId="2" borderId="0" xfId="8" applyNumberFormat="1" applyFont="1" applyFill="1" applyAlignment="1" applyProtection="1">
      <alignment vertical="center"/>
      <protection locked="0" hidden="1"/>
    </xf>
    <xf numFmtId="0" fontId="3" fillId="0" borderId="0" xfId="8" applyFont="1" applyAlignment="1" applyProtection="1">
      <alignment horizontal="right" vertical="center"/>
      <protection hidden="1"/>
    </xf>
    <xf numFmtId="0" fontId="3" fillId="3" borderId="0" xfId="8" applyFont="1" applyFill="1" applyAlignment="1" applyProtection="1">
      <alignment vertical="center"/>
      <protection hidden="1"/>
    </xf>
    <xf numFmtId="0" fontId="3" fillId="4" borderId="0" xfId="8" applyFont="1" applyFill="1" applyAlignment="1" applyProtection="1">
      <alignment vertical="center"/>
      <protection hidden="1"/>
    </xf>
    <xf numFmtId="14" fontId="14" fillId="0" borderId="0" xfId="8" quotePrefix="1" applyNumberFormat="1" applyFont="1" applyAlignment="1" applyProtection="1">
      <alignment horizontal="left" vertical="center"/>
      <protection hidden="1"/>
    </xf>
    <xf numFmtId="10" fontId="4" fillId="0" borderId="0" xfId="8" applyNumberFormat="1" applyFont="1" applyAlignment="1" applyProtection="1">
      <alignment vertical="center"/>
      <protection hidden="1"/>
    </xf>
    <xf numFmtId="0" fontId="14" fillId="0" borderId="0" xfId="8" quotePrefix="1" applyFont="1" applyAlignment="1" applyProtection="1">
      <alignment horizontal="left" vertical="center"/>
      <protection hidden="1"/>
    </xf>
    <xf numFmtId="166" fontId="57" fillId="0" borderId="0" xfId="8" applyNumberFormat="1" applyFont="1" applyAlignment="1" applyProtection="1">
      <alignment vertical="center"/>
      <protection hidden="1"/>
    </xf>
    <xf numFmtId="166" fontId="3" fillId="0" borderId="0" xfId="8" applyNumberFormat="1" applyFont="1" applyAlignment="1" applyProtection="1">
      <alignment vertical="center"/>
      <protection hidden="1"/>
    </xf>
    <xf numFmtId="1" fontId="3" fillId="2" borderId="0" xfId="8" applyNumberFormat="1" applyFont="1" applyFill="1" applyAlignment="1" applyProtection="1">
      <alignment horizontal="left" vertical="center"/>
      <protection locked="0" hidden="1"/>
    </xf>
    <xf numFmtId="2" fontId="3" fillId="0" borderId="0" xfId="8" applyNumberFormat="1" applyFont="1" applyAlignment="1" applyProtection="1">
      <alignment vertical="center"/>
      <protection hidden="1"/>
    </xf>
    <xf numFmtId="0" fontId="56" fillId="0" borderId="0" xfId="8" applyFont="1" applyAlignment="1" applyProtection="1">
      <alignment horizontal="right" vertical="center"/>
      <protection hidden="1"/>
    </xf>
    <xf numFmtId="2" fontId="15" fillId="0" borderId="0" xfId="8" applyNumberFormat="1" applyFont="1" applyAlignment="1" applyProtection="1">
      <alignment vertical="center"/>
      <protection hidden="1"/>
    </xf>
    <xf numFmtId="0" fontId="15" fillId="0" borderId="0" xfId="8" applyFont="1" applyAlignment="1" applyProtection="1">
      <alignment vertical="center"/>
      <protection hidden="1"/>
    </xf>
    <xf numFmtId="0" fontId="16" fillId="0" borderId="0" xfId="8" applyFont="1" applyAlignment="1" applyProtection="1">
      <alignment vertical="center"/>
      <protection hidden="1"/>
    </xf>
    <xf numFmtId="0" fontId="17" fillId="0" borderId="0" xfId="8" applyFont="1" applyAlignment="1" applyProtection="1">
      <alignment vertical="center"/>
      <protection hidden="1"/>
    </xf>
    <xf numFmtId="0" fontId="9" fillId="0" borderId="0" xfId="8" applyFont="1" applyAlignment="1" applyProtection="1">
      <alignment horizontal="left" vertical="center"/>
      <protection hidden="1"/>
    </xf>
    <xf numFmtId="0" fontId="3" fillId="2" borderId="0" xfId="8" applyFont="1" applyFill="1" applyAlignment="1" applyProtection="1">
      <alignment horizontal="left" vertical="center"/>
      <protection locked="0" hidden="1"/>
    </xf>
    <xf numFmtId="0" fontId="9" fillId="0" borderId="0" xfId="8" applyFont="1" applyAlignment="1" applyProtection="1">
      <alignment horizontal="center" vertical="center"/>
      <protection hidden="1"/>
    </xf>
    <xf numFmtId="164" fontId="4" fillId="3" borderId="0" xfId="8" applyNumberFormat="1" applyFont="1" applyFill="1" applyAlignment="1" applyProtection="1">
      <alignment vertical="center"/>
      <protection hidden="1"/>
    </xf>
    <xf numFmtId="2" fontId="3" fillId="2" borderId="0" xfId="8" applyNumberFormat="1" applyFont="1" applyFill="1" applyAlignment="1" applyProtection="1">
      <alignment vertical="center"/>
      <protection locked="0" hidden="1"/>
    </xf>
    <xf numFmtId="0" fontId="7" fillId="5" borderId="0" xfId="8" applyFont="1" applyFill="1" applyAlignment="1" applyProtection="1">
      <alignment vertical="center"/>
      <protection hidden="1"/>
    </xf>
    <xf numFmtId="0" fontId="4" fillId="5" borderId="0" xfId="8" applyFont="1" applyFill="1" applyAlignment="1" applyProtection="1">
      <alignment vertical="center"/>
      <protection hidden="1"/>
    </xf>
    <xf numFmtId="0" fontId="13" fillId="5" borderId="0" xfId="8" applyFont="1" applyFill="1" applyAlignment="1" applyProtection="1">
      <alignment horizontal="right" vertical="center"/>
      <protection hidden="1"/>
    </xf>
    <xf numFmtId="0" fontId="5" fillId="5" borderId="0" xfId="8" applyFont="1" applyFill="1" applyAlignment="1" applyProtection="1">
      <alignment horizontal="center" vertical="center"/>
      <protection hidden="1"/>
    </xf>
    <xf numFmtId="0" fontId="5" fillId="5" borderId="0" xfId="8" applyFont="1" applyFill="1" applyAlignment="1" applyProtection="1">
      <alignment horizontal="left" vertical="center"/>
      <protection hidden="1"/>
    </xf>
    <xf numFmtId="0" fontId="4" fillId="8" borderId="0" xfId="8" applyFont="1" applyFill="1" applyAlignment="1" applyProtection="1">
      <alignment horizontal="center" vertical="center"/>
      <protection hidden="1"/>
    </xf>
    <xf numFmtId="0" fontId="3" fillId="8" borderId="0" xfId="8" applyFont="1" applyFill="1" applyAlignment="1" applyProtection="1">
      <alignment vertical="center"/>
      <protection hidden="1"/>
    </xf>
    <xf numFmtId="1" fontId="3" fillId="2" borderId="0" xfId="8" applyNumberFormat="1" applyFont="1" applyFill="1" applyAlignment="1" applyProtection="1">
      <alignment vertical="center"/>
      <protection locked="0" hidden="1"/>
    </xf>
    <xf numFmtId="0" fontId="5" fillId="8" borderId="0" xfId="8" quotePrefix="1" applyFont="1" applyFill="1" applyAlignment="1" applyProtection="1">
      <alignment horizontal="center" vertical="center"/>
      <protection hidden="1"/>
    </xf>
    <xf numFmtId="0" fontId="4" fillId="8" borderId="0" xfId="8" quotePrefix="1" applyFont="1" applyFill="1" applyAlignment="1" applyProtection="1">
      <alignment horizontal="center" vertical="center"/>
      <protection hidden="1"/>
    </xf>
    <xf numFmtId="0" fontId="10" fillId="8" borderId="0" xfId="8" applyFont="1" applyFill="1" applyAlignment="1" applyProtection="1">
      <alignment horizontal="center" vertical="center"/>
      <protection hidden="1"/>
    </xf>
    <xf numFmtId="0" fontId="8" fillId="3" borderId="0" xfId="8" applyFont="1" applyFill="1" applyAlignment="1" applyProtection="1">
      <alignment horizontal="center" vertical="center"/>
      <protection hidden="1"/>
    </xf>
    <xf numFmtId="0" fontId="9" fillId="3" borderId="0" xfId="8" applyFont="1" applyFill="1" applyAlignment="1" applyProtection="1">
      <alignment horizontal="center" vertical="center"/>
      <protection hidden="1"/>
    </xf>
    <xf numFmtId="164" fontId="3" fillId="3" borderId="0" xfId="8" applyNumberFormat="1" applyFont="1" applyFill="1" applyAlignment="1" applyProtection="1">
      <alignment vertical="center"/>
      <protection hidden="1"/>
    </xf>
    <xf numFmtId="2" fontId="9" fillId="0" borderId="0" xfId="8" applyNumberFormat="1" applyFont="1" applyAlignment="1" applyProtection="1">
      <alignment horizontal="center" vertical="center"/>
      <protection hidden="1"/>
    </xf>
    <xf numFmtId="0" fontId="3" fillId="8" borderId="0" xfId="8" applyFont="1" applyFill="1" applyAlignment="1" applyProtection="1">
      <alignment horizontal="center" vertical="center"/>
      <protection hidden="1"/>
    </xf>
    <xf numFmtId="0" fontId="14" fillId="0" borderId="0" xfId="8" applyFont="1" applyAlignment="1" applyProtection="1">
      <alignment horizontal="left" vertical="center"/>
      <protection locked="0" hidden="1"/>
    </xf>
    <xf numFmtId="0" fontId="17" fillId="0" borderId="0" xfId="8" applyFont="1" applyAlignment="1" applyProtection="1">
      <alignment vertical="center"/>
      <protection locked="0" hidden="1"/>
    </xf>
    <xf numFmtId="0" fontId="4" fillId="0" borderId="0" xfId="8" applyFont="1" applyAlignment="1" applyProtection="1">
      <alignment vertical="center"/>
      <protection locked="0" hidden="1"/>
    </xf>
    <xf numFmtId="0" fontId="3" fillId="0" borderId="0" xfId="8" applyFont="1" applyAlignment="1" applyProtection="1">
      <alignment vertical="center"/>
      <protection locked="0" hidden="1"/>
    </xf>
    <xf numFmtId="0" fontId="1" fillId="0" borderId="0" xfId="8" applyAlignment="1" applyProtection="1">
      <alignment vertical="center"/>
      <protection hidden="1"/>
    </xf>
    <xf numFmtId="0" fontId="3" fillId="5" borderId="0" xfId="8" applyFont="1" applyFill="1" applyAlignment="1" applyProtection="1">
      <alignment horizontal="center" vertical="center"/>
      <protection hidden="1"/>
    </xf>
    <xf numFmtId="0" fontId="12" fillId="0" borderId="0" xfId="8" applyFont="1" applyAlignment="1" applyProtection="1">
      <alignment vertical="center"/>
      <protection hidden="1"/>
    </xf>
    <xf numFmtId="0" fontId="12" fillId="0" borderId="0" xfId="8" applyFont="1" applyAlignment="1" applyProtection="1">
      <alignment horizontal="right" vertical="center"/>
      <protection hidden="1"/>
    </xf>
    <xf numFmtId="0" fontId="4" fillId="0" borderId="0" xfId="8" applyFont="1" applyAlignment="1" applyProtection="1">
      <alignment horizontal="right" vertical="center"/>
      <protection hidden="1"/>
    </xf>
    <xf numFmtId="0" fontId="20" fillId="0" borderId="0" xfId="8" applyFont="1" applyAlignment="1" applyProtection="1">
      <alignment vertical="center"/>
      <protection hidden="1"/>
    </xf>
    <xf numFmtId="0" fontId="32" fillId="0" borderId="0" xfId="8" applyFont="1" applyAlignment="1">
      <alignment vertical="center"/>
    </xf>
    <xf numFmtId="0" fontId="4" fillId="0" borderId="0" xfId="8" applyFont="1" applyAlignment="1">
      <alignment vertical="center"/>
    </xf>
    <xf numFmtId="0" fontId="10" fillId="8" borderId="0" xfId="8" applyFont="1" applyFill="1" applyAlignment="1" applyProtection="1">
      <alignment horizontal="left" vertical="center"/>
      <protection hidden="1"/>
    </xf>
    <xf numFmtId="10" fontId="3" fillId="0" borderId="0" xfId="8" applyNumberFormat="1" applyFont="1" applyAlignment="1" applyProtection="1">
      <alignment vertical="center"/>
      <protection hidden="1"/>
    </xf>
    <xf numFmtId="0" fontId="10" fillId="0" borderId="0" xfId="1" applyAlignment="1">
      <alignment horizontal="center" vertical="center"/>
      <protection hidden="1"/>
    </xf>
    <xf numFmtId="165" fontId="3" fillId="0" borderId="0" xfId="8" applyNumberFormat="1" applyFont="1" applyAlignment="1" applyProtection="1">
      <alignment vertical="center"/>
      <protection hidden="1"/>
    </xf>
    <xf numFmtId="0" fontId="10" fillId="0" borderId="0" xfId="8" applyFont="1" applyAlignment="1" applyProtection="1">
      <alignment horizontal="center" vertical="center"/>
      <protection hidden="1"/>
    </xf>
    <xf numFmtId="0" fontId="5" fillId="8" borderId="0" xfId="8" applyFont="1" applyFill="1" applyAlignment="1" applyProtection="1">
      <alignment horizontal="center" vertical="center"/>
      <protection hidden="1"/>
    </xf>
    <xf numFmtId="165" fontId="3" fillId="3" borderId="0" xfId="8" applyNumberFormat="1" applyFont="1" applyFill="1" applyAlignment="1" applyProtection="1">
      <alignment vertical="center"/>
      <protection hidden="1"/>
    </xf>
    <xf numFmtId="0" fontId="14" fillId="0" borderId="0" xfId="8" applyFont="1" applyAlignment="1" applyProtection="1">
      <alignment vertical="center"/>
      <protection hidden="1"/>
    </xf>
    <xf numFmtId="0" fontId="30" fillId="0" borderId="0" xfId="8" applyFont="1" applyAlignment="1" applyProtection="1">
      <alignment vertical="center"/>
      <protection hidden="1"/>
    </xf>
    <xf numFmtId="0" fontId="10" fillId="0" borderId="0" xfId="8" applyFont="1" applyAlignment="1" applyProtection="1">
      <alignment horizontal="left" vertical="center"/>
      <protection hidden="1"/>
    </xf>
    <xf numFmtId="0" fontId="16" fillId="0" borderId="0" xfId="8" applyFont="1" applyAlignment="1" applyProtection="1">
      <alignment horizontal="left" vertical="center"/>
      <protection hidden="1"/>
    </xf>
    <xf numFmtId="0" fontId="16" fillId="0" borderId="0" xfId="8" applyFont="1" applyAlignment="1" applyProtection="1">
      <alignment horizontal="center" vertical="center"/>
      <protection hidden="1"/>
    </xf>
    <xf numFmtId="166" fontId="15" fillId="0" borderId="0" xfId="8" applyNumberFormat="1" applyFont="1" applyAlignment="1" applyProtection="1">
      <alignment horizontal="right" vertical="center"/>
      <protection hidden="1"/>
    </xf>
    <xf numFmtId="0" fontId="5" fillId="0" borderId="0" xfId="8" applyFont="1" applyAlignment="1" applyProtection="1">
      <alignment horizontal="center" vertical="center"/>
      <protection hidden="1"/>
    </xf>
    <xf numFmtId="0" fontId="5" fillId="3" borderId="0" xfId="8" applyFont="1" applyFill="1" applyAlignment="1" applyProtection="1">
      <alignment horizontal="center" vertical="center"/>
      <protection hidden="1"/>
    </xf>
    <xf numFmtId="0" fontId="5" fillId="3" borderId="0" xfId="8" applyFont="1" applyFill="1" applyAlignment="1" applyProtection="1">
      <alignment vertical="center"/>
      <protection hidden="1"/>
    </xf>
    <xf numFmtId="0" fontId="5" fillId="4" borderId="0" xfId="8" applyFont="1" applyFill="1" applyAlignment="1" applyProtection="1">
      <alignment vertical="center"/>
      <protection hidden="1"/>
    </xf>
    <xf numFmtId="1" fontId="3" fillId="2" borderId="0" xfId="3" applyAlignment="1">
      <alignment vertical="center"/>
      <protection locked="0" hidden="1"/>
    </xf>
    <xf numFmtId="164" fontId="3" fillId="0" borderId="0" xfId="8" applyNumberFormat="1" applyFont="1" applyAlignment="1" applyProtection="1">
      <alignment vertical="center"/>
      <protection hidden="1"/>
    </xf>
    <xf numFmtId="2" fontId="7" fillId="5" borderId="0" xfId="8" applyNumberFormat="1" applyFont="1" applyFill="1" applyAlignment="1" applyProtection="1">
      <alignment horizontal="center" vertical="center"/>
      <protection hidden="1"/>
    </xf>
    <xf numFmtId="0" fontId="5" fillId="5" borderId="0" xfId="8" applyFont="1" applyFill="1" applyAlignment="1" applyProtection="1">
      <alignment vertical="center"/>
      <protection hidden="1"/>
    </xf>
    <xf numFmtId="0" fontId="4" fillId="5" borderId="0" xfId="8" applyFont="1" applyFill="1" applyAlignment="1" applyProtection="1">
      <alignment horizontal="center" vertical="center"/>
      <protection hidden="1"/>
    </xf>
    <xf numFmtId="0" fontId="3" fillId="3" borderId="0" xfId="8" applyFont="1" applyFill="1" applyAlignment="1" applyProtection="1">
      <alignment horizontal="center" vertical="center"/>
      <protection hidden="1"/>
    </xf>
    <xf numFmtId="0" fontId="4" fillId="8" borderId="0" xfId="8" applyFont="1" applyFill="1" applyAlignment="1" applyProtection="1">
      <alignment vertical="center"/>
      <protection hidden="1"/>
    </xf>
    <xf numFmtId="0" fontId="3" fillId="3" borderId="0" xfId="8" applyFont="1" applyFill="1" applyAlignment="1" applyProtection="1">
      <alignment horizontal="right" vertical="center"/>
      <protection hidden="1"/>
    </xf>
    <xf numFmtId="9" fontId="3" fillId="3" borderId="0" xfId="8" applyNumberFormat="1" applyFont="1" applyFill="1" applyAlignment="1" applyProtection="1">
      <alignment vertical="center"/>
      <protection hidden="1"/>
    </xf>
    <xf numFmtId="0" fontId="11" fillId="4" borderId="0" xfId="8" applyFont="1" applyFill="1" applyAlignment="1" applyProtection="1">
      <alignment vertical="center"/>
      <protection hidden="1"/>
    </xf>
    <xf numFmtId="0" fontId="27" fillId="0" borderId="0" xfId="8" applyFont="1" applyAlignment="1" applyProtection="1">
      <alignment vertical="center"/>
      <protection hidden="1"/>
    </xf>
    <xf numFmtId="16" fontId="4" fillId="8" borderId="0" xfId="8" quotePrefix="1" applyNumberFormat="1" applyFont="1" applyFill="1" applyAlignment="1" applyProtection="1">
      <alignment horizontal="center" vertical="center"/>
      <protection hidden="1"/>
    </xf>
    <xf numFmtId="0" fontId="11" fillId="3" borderId="0" xfId="8" applyFont="1" applyFill="1" applyAlignment="1" applyProtection="1">
      <alignment horizontal="center" vertical="center"/>
      <protection hidden="1"/>
    </xf>
    <xf numFmtId="0" fontId="11" fillId="3" borderId="0" xfId="8" applyFont="1" applyFill="1" applyAlignment="1" applyProtection="1">
      <alignment vertical="center"/>
      <protection hidden="1"/>
    </xf>
    <xf numFmtId="2" fontId="4" fillId="0" borderId="0" xfId="8" applyNumberFormat="1" applyFont="1" applyAlignment="1" applyProtection="1">
      <alignment horizontal="center" vertical="center"/>
      <protection hidden="1"/>
    </xf>
    <xf numFmtId="0" fontId="18" fillId="8" borderId="0" xfId="8" applyFont="1" applyFill="1" applyAlignment="1" applyProtection="1">
      <alignment vertical="center"/>
      <protection hidden="1"/>
    </xf>
    <xf numFmtId="0" fontId="3" fillId="5" borderId="0" xfId="8" applyFont="1" applyFill="1" applyAlignment="1" applyProtection="1">
      <alignment vertical="center"/>
      <protection hidden="1"/>
    </xf>
    <xf numFmtId="164" fontId="9" fillId="0" borderId="0" xfId="8" applyNumberFormat="1" applyFont="1" applyAlignment="1" applyProtection="1">
      <alignment horizontal="center" vertical="center"/>
      <protection hidden="1"/>
    </xf>
    <xf numFmtId="166" fontId="3" fillId="2" borderId="0" xfId="2" applyAlignment="1" applyProtection="1">
      <alignment vertical="center"/>
      <protection hidden="1"/>
    </xf>
    <xf numFmtId="2" fontId="8" fillId="0" borderId="0" xfId="8" applyNumberFormat="1" applyFont="1" applyAlignment="1" applyProtection="1">
      <alignment horizontal="center" vertical="center"/>
      <protection hidden="1"/>
    </xf>
    <xf numFmtId="1" fontId="3" fillId="3" borderId="0" xfId="8" applyNumberFormat="1" applyFont="1" applyFill="1" applyAlignment="1" applyProtection="1">
      <alignment vertical="center"/>
      <protection hidden="1"/>
    </xf>
    <xf numFmtId="164" fontId="11" fillId="4" borderId="0" xfId="8" applyNumberFormat="1" applyFont="1" applyFill="1" applyAlignment="1" applyProtection="1">
      <alignment vertical="center"/>
      <protection hidden="1"/>
    </xf>
    <xf numFmtId="164" fontId="3" fillId="4" borderId="0" xfId="8" applyNumberFormat="1" applyFont="1" applyFill="1" applyAlignment="1" applyProtection="1">
      <alignment vertical="center"/>
      <protection hidden="1"/>
    </xf>
    <xf numFmtId="1" fontId="28" fillId="0" borderId="0" xfId="8" applyNumberFormat="1" applyFont="1" applyAlignment="1" applyProtection="1">
      <alignment vertical="center"/>
      <protection hidden="1"/>
    </xf>
    <xf numFmtId="0" fontId="3" fillId="2" borderId="0" xfId="8" applyFont="1" applyFill="1" applyAlignment="1" applyProtection="1">
      <alignment vertical="center"/>
      <protection locked="0" hidden="1"/>
    </xf>
    <xf numFmtId="0" fontId="28" fillId="0" borderId="0" xfId="8" applyFont="1" applyAlignment="1" applyProtection="1">
      <alignment vertical="center"/>
      <protection locked="0" hidden="1"/>
    </xf>
    <xf numFmtId="0" fontId="27" fillId="0" borderId="0" xfId="8" applyFont="1" applyAlignment="1">
      <alignment vertical="center"/>
    </xf>
    <xf numFmtId="0" fontId="3" fillId="0" borderId="0" xfId="8" applyFont="1" applyAlignment="1">
      <alignment vertical="center"/>
    </xf>
    <xf numFmtId="2" fontId="3" fillId="0" borderId="0" xfId="8" applyNumberFormat="1" applyFont="1" applyAlignment="1" applyProtection="1">
      <alignment horizontal="center" vertical="center"/>
      <protection hidden="1"/>
    </xf>
    <xf numFmtId="0" fontId="5" fillId="8" borderId="0" xfId="8" applyFont="1" applyFill="1" applyAlignment="1" applyProtection="1">
      <alignment vertical="center"/>
      <protection hidden="1"/>
    </xf>
    <xf numFmtId="0" fontId="8" fillId="8" borderId="0" xfId="8" applyFont="1" applyFill="1" applyAlignment="1" applyProtection="1">
      <alignment vertical="center"/>
      <protection hidden="1"/>
    </xf>
    <xf numFmtId="0" fontId="8" fillId="3" borderId="0" xfId="8" applyFont="1" applyFill="1" applyAlignment="1" applyProtection="1">
      <alignment vertical="center"/>
      <protection hidden="1"/>
    </xf>
    <xf numFmtId="0" fontId="13" fillId="14" borderId="0" xfId="8" applyFont="1" applyFill="1" applyAlignment="1" applyProtection="1">
      <alignment vertical="center"/>
      <protection hidden="1"/>
    </xf>
    <xf numFmtId="0" fontId="5" fillId="14" borderId="0" xfId="8" applyFont="1" applyFill="1" applyAlignment="1" applyProtection="1">
      <alignment vertical="center"/>
      <protection hidden="1"/>
    </xf>
    <xf numFmtId="2" fontId="10" fillId="14" borderId="0" xfId="8" applyNumberFormat="1" applyFont="1" applyFill="1" applyAlignment="1" applyProtection="1">
      <alignment horizontal="center" vertical="center"/>
      <protection hidden="1"/>
    </xf>
    <xf numFmtId="2" fontId="13" fillId="14" borderId="0" xfId="8" applyNumberFormat="1" applyFont="1" applyFill="1" applyAlignment="1" applyProtection="1">
      <alignment horizontal="left" vertical="center"/>
      <protection hidden="1"/>
    </xf>
    <xf numFmtId="2" fontId="21" fillId="19" borderId="0" xfId="0" applyNumberFormat="1" applyFont="1" applyFill="1" applyAlignment="1" applyProtection="1">
      <alignment horizontal="center" vertical="center"/>
      <protection hidden="1"/>
    </xf>
    <xf numFmtId="0" fontId="34" fillId="19" borderId="0" xfId="0" applyFont="1" applyFill="1" applyAlignment="1">
      <alignment vertical="center"/>
    </xf>
    <xf numFmtId="0" fontId="0" fillId="19" borderId="0" xfId="0" applyFill="1" applyAlignment="1">
      <alignment vertical="center"/>
    </xf>
    <xf numFmtId="0" fontId="42" fillId="0" borderId="0" xfId="0" applyFont="1" applyAlignment="1">
      <alignment horizontal="left" vertical="center" wrapText="1"/>
    </xf>
    <xf numFmtId="0" fontId="0" fillId="0" borderId="0" xfId="0" applyAlignment="1">
      <alignment vertical="center"/>
    </xf>
    <xf numFmtId="0" fontId="34" fillId="0" borderId="0" xfId="0" applyFont="1" applyAlignment="1">
      <alignment vertical="center"/>
    </xf>
    <xf numFmtId="0" fontId="34" fillId="0" borderId="0" xfId="0" applyFont="1" applyAlignment="1" applyProtection="1">
      <alignment horizontal="left" vertical="center"/>
      <protection hidden="1"/>
    </xf>
    <xf numFmtId="0" fontId="27" fillId="0" borderId="0" xfId="0" applyFont="1" applyAlignment="1" applyProtection="1">
      <alignment vertical="center"/>
      <protection hidden="1"/>
    </xf>
    <xf numFmtId="166" fontId="27" fillId="0" borderId="0" xfId="0" applyNumberFormat="1" applyFont="1" applyAlignment="1" applyProtection="1">
      <alignment vertical="center"/>
      <protection hidden="1"/>
    </xf>
    <xf numFmtId="0" fontId="34" fillId="0" borderId="0" xfId="0" applyFont="1" applyAlignment="1" applyProtection="1">
      <alignment vertical="center"/>
      <protection hidden="1"/>
    </xf>
    <xf numFmtId="0" fontId="42" fillId="0" borderId="0" xfId="0" applyFont="1" applyAlignment="1">
      <alignment vertical="center" wrapText="1"/>
    </xf>
    <xf numFmtId="0" fontId="38" fillId="0" borderId="0" xfId="0" applyFont="1" applyAlignment="1">
      <alignment vertical="center" wrapText="1"/>
    </xf>
    <xf numFmtId="0" fontId="4" fillId="15" borderId="0" xfId="0" applyFont="1" applyFill="1" applyAlignment="1" applyProtection="1">
      <alignment vertical="center"/>
      <protection hidden="1"/>
    </xf>
    <xf numFmtId="0" fontId="4" fillId="16" borderId="0" xfId="0" applyFont="1" applyFill="1" applyAlignment="1" applyProtection="1">
      <alignment vertical="center"/>
      <protection hidden="1"/>
    </xf>
    <xf numFmtId="172" fontId="34" fillId="18" borderId="0" xfId="0" applyNumberFormat="1" applyFont="1" applyFill="1" applyAlignment="1" applyProtection="1">
      <alignment horizontal="right" vertical="center"/>
      <protection locked="0"/>
    </xf>
    <xf numFmtId="0" fontId="8" fillId="0" borderId="0" xfId="0" applyFont="1" applyAlignment="1">
      <alignment vertical="center" wrapText="1"/>
    </xf>
    <xf numFmtId="0" fontId="30" fillId="0" borderId="0" xfId="0" applyFont="1" applyAlignment="1">
      <alignment horizontal="right" vertical="center"/>
    </xf>
    <xf numFmtId="0" fontId="34" fillId="12" borderId="0" xfId="0" applyFont="1" applyFill="1" applyAlignment="1">
      <alignment horizontal="center" vertical="center"/>
    </xf>
    <xf numFmtId="0" fontId="34" fillId="15" borderId="0" xfId="0" applyFont="1" applyFill="1" applyAlignment="1">
      <alignment horizontal="center" vertical="center"/>
    </xf>
    <xf numFmtId="0" fontId="34" fillId="16" borderId="0" xfId="0" applyFont="1" applyFill="1" applyAlignment="1">
      <alignment horizontal="center" vertical="center"/>
    </xf>
    <xf numFmtId="0" fontId="0" fillId="15" borderId="0" xfId="0" applyFill="1" applyAlignment="1">
      <alignment horizontal="center" vertical="center"/>
    </xf>
    <xf numFmtId="0" fontId="0" fillId="16" borderId="0" xfId="0" applyFill="1" applyAlignment="1">
      <alignment horizontal="center" vertical="center"/>
    </xf>
    <xf numFmtId="0" fontId="3" fillId="0" borderId="0" xfId="0" applyFont="1" applyAlignment="1">
      <alignment vertical="center" wrapText="1"/>
    </xf>
    <xf numFmtId="9" fontId="8" fillId="12" borderId="0" xfId="0" applyNumberFormat="1" applyFont="1" applyFill="1" applyAlignment="1">
      <alignment horizontal="center" vertical="center"/>
    </xf>
    <xf numFmtId="9" fontId="0" fillId="15" borderId="0" xfId="7" applyFont="1" applyFill="1" applyBorder="1" applyAlignment="1">
      <alignment horizontal="center" vertical="center"/>
    </xf>
    <xf numFmtId="10" fontId="34" fillId="0" borderId="0" xfId="0" applyNumberFormat="1" applyFont="1" applyAlignment="1">
      <alignment vertical="center"/>
    </xf>
    <xf numFmtId="0" fontId="27" fillId="0" borderId="0" xfId="0" applyFont="1" applyAlignment="1">
      <alignment horizontal="right" vertical="center"/>
    </xf>
    <xf numFmtId="0" fontId="27" fillId="0" borderId="0" xfId="0" applyFont="1" applyAlignment="1">
      <alignment vertical="center" wrapText="1"/>
    </xf>
    <xf numFmtId="0" fontId="38" fillId="12" borderId="0" xfId="0" applyFont="1" applyFill="1" applyAlignment="1">
      <alignment horizontal="center" vertical="center"/>
    </xf>
    <xf numFmtId="9" fontId="3" fillId="12" borderId="0" xfId="0" applyNumberFormat="1" applyFont="1" applyFill="1" applyAlignment="1">
      <alignment horizontal="center" vertical="center"/>
    </xf>
    <xf numFmtId="165" fontId="0" fillId="15" borderId="0" xfId="7" applyNumberFormat="1" applyFont="1" applyFill="1" applyBorder="1" applyAlignment="1">
      <alignment horizontal="center" vertical="center"/>
    </xf>
    <xf numFmtId="0" fontId="44" fillId="0" borderId="0" xfId="0" applyFont="1" applyAlignment="1">
      <alignment vertical="center"/>
    </xf>
    <xf numFmtId="0" fontId="34" fillId="0" borderId="0" xfId="0" applyFont="1" applyAlignment="1">
      <alignment horizontal="left" vertical="center"/>
    </xf>
    <xf numFmtId="0" fontId="55" fillId="0" borderId="0" xfId="0" applyFont="1" applyAlignment="1">
      <alignment vertical="center"/>
    </xf>
    <xf numFmtId="0" fontId="0" fillId="12" borderId="0" xfId="0" applyFill="1" applyAlignment="1">
      <alignment vertical="center"/>
    </xf>
    <xf numFmtId="0" fontId="34" fillId="0" borderId="0" xfId="0" applyFont="1" applyAlignment="1">
      <alignment vertical="center" wrapText="1"/>
    </xf>
    <xf numFmtId="164" fontId="34" fillId="0" borderId="0" xfId="0" applyNumberFormat="1" applyFont="1" applyAlignment="1">
      <alignment vertical="center"/>
    </xf>
    <xf numFmtId="10" fontId="34" fillId="13" borderId="0" xfId="7" applyNumberFormat="1" applyFont="1" applyFill="1" applyBorder="1" applyAlignment="1">
      <alignment vertical="center"/>
    </xf>
    <xf numFmtId="0" fontId="45" fillId="0" borderId="0" xfId="0" applyFont="1" applyAlignment="1">
      <alignment vertical="center"/>
    </xf>
    <xf numFmtId="10" fontId="34" fillId="0" borderId="0" xfId="7" applyNumberFormat="1" applyFont="1" applyFill="1" applyBorder="1" applyAlignment="1">
      <alignment horizontal="right" vertical="center"/>
    </xf>
    <xf numFmtId="173" fontId="3" fillId="18" borderId="0" xfId="0" applyNumberFormat="1" applyFont="1" applyFill="1" applyAlignment="1" applyProtection="1">
      <alignment vertical="center"/>
      <protection locked="0" hidden="1"/>
    </xf>
    <xf numFmtId="0" fontId="38" fillId="19" borderId="0" xfId="0" applyFont="1" applyFill="1" applyAlignment="1">
      <alignment vertical="center"/>
    </xf>
    <xf numFmtId="10" fontId="34" fillId="0" borderId="0" xfId="7" applyNumberFormat="1" applyFont="1" applyFill="1" applyBorder="1" applyAlignment="1">
      <alignment vertical="center"/>
    </xf>
    <xf numFmtId="0" fontId="34" fillId="0" borderId="0" xfId="0" applyFont="1" applyAlignment="1">
      <alignment horizontal="right" vertical="center"/>
    </xf>
    <xf numFmtId="10" fontId="34" fillId="0" borderId="0" xfId="7" applyNumberFormat="1" applyFont="1" applyBorder="1" applyAlignment="1">
      <alignment horizontal="right" vertical="center"/>
    </xf>
    <xf numFmtId="164" fontId="34" fillId="0" borderId="0" xfId="0" applyNumberFormat="1" applyFont="1" applyAlignment="1">
      <alignment horizontal="right" vertical="center"/>
    </xf>
    <xf numFmtId="0" fontId="3" fillId="0" borderId="0" xfId="0" applyFont="1" applyAlignment="1">
      <alignment horizontal="left" vertical="center"/>
    </xf>
    <xf numFmtId="0" fontId="46" fillId="0" borderId="0" xfId="0" applyFont="1" applyAlignment="1">
      <alignment vertical="center"/>
    </xf>
    <xf numFmtId="2" fontId="30" fillId="19" borderId="0" xfId="0" applyNumberFormat="1" applyFont="1" applyFill="1" applyAlignment="1">
      <alignment horizontal="right" vertical="center"/>
    </xf>
    <xf numFmtId="0" fontId="48" fillId="0" borderId="0" xfId="0" applyFont="1" applyAlignment="1">
      <alignment horizontal="left" vertical="center"/>
    </xf>
    <xf numFmtId="164" fontId="55" fillId="0" borderId="0" xfId="0" applyNumberFormat="1" applyFont="1" applyAlignment="1">
      <alignment vertical="center"/>
    </xf>
    <xf numFmtId="0" fontId="34" fillId="0" borderId="0" xfId="0" applyFont="1" applyAlignment="1">
      <alignment horizontal="center" vertical="center"/>
    </xf>
    <xf numFmtId="164" fontId="34" fillId="0" borderId="0" xfId="7" applyNumberFormat="1" applyFont="1" applyFill="1" applyBorder="1" applyAlignment="1">
      <alignment horizontal="right" vertical="center"/>
    </xf>
    <xf numFmtId="166" fontId="64" fillId="18" borderId="0" xfId="0" applyNumberFormat="1" applyFont="1" applyFill="1" applyAlignment="1" applyProtection="1">
      <alignment vertical="center"/>
      <protection locked="0" hidden="1"/>
    </xf>
    <xf numFmtId="2" fontId="21" fillId="19" borderId="0" xfId="0" applyNumberFormat="1" applyFont="1" applyFill="1" applyAlignment="1" applyProtection="1">
      <alignment horizontal="right" vertical="center"/>
      <protection hidden="1"/>
    </xf>
    <xf numFmtId="2" fontId="0" fillId="19" borderId="0" xfId="0" applyNumberFormat="1" applyFill="1"/>
    <xf numFmtId="2" fontId="0" fillId="21" borderId="0" xfId="0" applyNumberFormat="1" applyFill="1"/>
    <xf numFmtId="0" fontId="34" fillId="0" borderId="0" xfId="4" applyFont="1" applyAlignment="1">
      <alignment horizontal="center" vertical="center"/>
    </xf>
    <xf numFmtId="0" fontId="34" fillId="0" borderId="0" xfId="4" applyFont="1" applyAlignment="1">
      <alignment vertical="center"/>
    </xf>
    <xf numFmtId="0" fontId="38" fillId="0" borderId="0" xfId="5" applyFont="1" applyFill="1" applyBorder="1" applyAlignment="1">
      <alignment vertical="center" wrapText="1"/>
    </xf>
    <xf numFmtId="0" fontId="34" fillId="19" borderId="0" xfId="0" applyFont="1" applyFill="1" applyAlignment="1">
      <alignment horizontal="right" vertical="center"/>
    </xf>
    <xf numFmtId="0" fontId="63" fillId="19" borderId="0" xfId="0" applyFont="1" applyFill="1" applyAlignment="1">
      <alignment vertical="center"/>
    </xf>
    <xf numFmtId="0" fontId="63" fillId="19" borderId="0" xfId="0" applyFont="1" applyFill="1" applyAlignment="1">
      <alignment horizontal="left" vertical="center"/>
    </xf>
    <xf numFmtId="14" fontId="31" fillId="0" borderId="0" xfId="0" quotePrefix="1" applyNumberFormat="1" applyFont="1" applyAlignment="1" applyProtection="1">
      <alignment horizontal="left" vertical="center"/>
      <protection hidden="1"/>
    </xf>
    <xf numFmtId="1" fontId="9" fillId="2" borderId="0" xfId="0" applyNumberFormat="1" applyFont="1" applyFill="1" applyAlignment="1" applyProtection="1">
      <alignment horizontal="center" vertical="center"/>
      <protection locked="0" hidden="1"/>
    </xf>
    <xf numFmtId="49" fontId="34" fillId="0" borderId="0" xfId="0" applyNumberFormat="1" applyFont="1" applyAlignment="1">
      <alignment horizontal="right" vertical="center"/>
    </xf>
    <xf numFmtId="0" fontId="53" fillId="0" borderId="0" xfId="0" applyFont="1" applyAlignment="1">
      <alignment horizontal="center" vertical="center"/>
    </xf>
    <xf numFmtId="0" fontId="3" fillId="0" borderId="0" xfId="0" applyFont="1" applyAlignment="1">
      <alignment horizontal="right" vertical="center"/>
    </xf>
    <xf numFmtId="0" fontId="28" fillId="0" borderId="0" xfId="0" applyFont="1" applyAlignment="1">
      <alignment horizontal="center" vertical="center"/>
    </xf>
    <xf numFmtId="0" fontId="53" fillId="19" borderId="0" xfId="0" applyFont="1" applyFill="1" applyAlignment="1">
      <alignment vertical="center"/>
    </xf>
    <xf numFmtId="0" fontId="63" fillId="0" borderId="0" xfId="0" applyFont="1" applyAlignment="1">
      <alignment vertical="center"/>
    </xf>
    <xf numFmtId="0" fontId="34" fillId="0" borderId="0" xfId="4" applyFont="1" applyAlignment="1">
      <alignment vertical="center" wrapText="1"/>
    </xf>
    <xf numFmtId="0" fontId="63" fillId="11" borderId="0" xfId="0" applyFont="1" applyFill="1" applyAlignment="1">
      <alignment vertical="center"/>
    </xf>
    <xf numFmtId="0" fontId="34" fillId="11" borderId="0" xfId="0" applyFont="1" applyFill="1" applyAlignment="1">
      <alignment vertical="center"/>
    </xf>
    <xf numFmtId="0" fontId="38" fillId="0" borderId="0" xfId="0" applyFont="1" applyAlignment="1">
      <alignment horizontal="left" vertical="center"/>
    </xf>
    <xf numFmtId="1" fontId="38" fillId="0" borderId="0" xfId="0" applyNumberFormat="1" applyFont="1" applyAlignment="1">
      <alignment horizontal="center" vertical="center" wrapText="1"/>
    </xf>
    <xf numFmtId="174" fontId="30" fillId="0" borderId="0" xfId="0" applyNumberFormat="1" applyFont="1" applyAlignment="1">
      <alignment horizontal="center" vertical="center"/>
    </xf>
    <xf numFmtId="0" fontId="30" fillId="0" borderId="0" xfId="0" applyFont="1" applyAlignment="1">
      <alignment horizontal="center" vertical="center"/>
    </xf>
    <xf numFmtId="0" fontId="47" fillId="0" borderId="0" xfId="0" applyFont="1" applyAlignment="1">
      <alignment vertical="center"/>
    </xf>
    <xf numFmtId="0" fontId="7" fillId="0" borderId="0" xfId="0" applyFont="1" applyAlignment="1" applyProtection="1">
      <alignment vertical="center"/>
      <protection hidden="1"/>
    </xf>
    <xf numFmtId="0" fontId="4" fillId="12" borderId="0" xfId="0" applyFont="1" applyFill="1" applyAlignment="1" applyProtection="1">
      <alignment vertical="center"/>
      <protection hidden="1"/>
    </xf>
    <xf numFmtId="0" fontId="5" fillId="20" borderId="0" xfId="0" applyFont="1" applyFill="1" applyAlignment="1" applyProtection="1">
      <alignment horizontal="center" vertical="center"/>
      <protection hidden="1"/>
    </xf>
    <xf numFmtId="0" fontId="34" fillId="0" borderId="0" xfId="4" applyFont="1" applyAlignment="1">
      <alignment horizontal="left" vertical="center"/>
    </xf>
    <xf numFmtId="0" fontId="34" fillId="12" borderId="0" xfId="4" applyFont="1" applyFill="1" applyAlignment="1">
      <alignment horizontal="left" vertical="center" wrapText="1"/>
    </xf>
    <xf numFmtId="0" fontId="34" fillId="0" borderId="0" xfId="4" applyFont="1" applyAlignment="1">
      <alignment horizontal="left" vertical="center" wrapText="1"/>
    </xf>
    <xf numFmtId="0" fontId="34" fillId="15" borderId="0" xfId="4" applyFont="1" applyFill="1" applyAlignment="1">
      <alignment horizontal="left" vertical="center"/>
    </xf>
    <xf numFmtId="0" fontId="34" fillId="20" borderId="0" xfId="4" applyFont="1" applyFill="1" applyAlignment="1">
      <alignment horizontal="left" vertical="center"/>
    </xf>
    <xf numFmtId="0" fontId="5" fillId="20" borderId="0" xfId="4" applyFont="1" applyFill="1" applyAlignment="1" applyProtection="1">
      <alignment horizontal="center" vertical="center"/>
      <protection hidden="1"/>
    </xf>
    <xf numFmtId="0" fontId="5" fillId="0" borderId="0" xfId="4" applyFont="1" applyAlignment="1" applyProtection="1">
      <alignment horizontal="left" vertical="center"/>
      <protection hidden="1"/>
    </xf>
    <xf numFmtId="0" fontId="3" fillId="0" borderId="0" xfId="4" applyFont="1" applyAlignment="1">
      <alignment horizontal="left" vertical="center" wrapText="1"/>
    </xf>
    <xf numFmtId="0" fontId="30" fillId="0" borderId="0" xfId="4" applyFont="1" applyAlignment="1">
      <alignment horizontal="center" vertical="center"/>
    </xf>
    <xf numFmtId="9" fontId="34" fillId="15" borderId="0" xfId="7" applyFont="1" applyFill="1" applyAlignment="1">
      <alignment horizontal="left" vertical="center"/>
    </xf>
    <xf numFmtId="0" fontId="34" fillId="20" borderId="0" xfId="7" applyNumberFormat="1" applyFont="1" applyFill="1" applyAlignment="1">
      <alignment horizontal="right" vertical="center"/>
    </xf>
    <xf numFmtId="9" fontId="34" fillId="0" borderId="0" xfId="7" applyFont="1" applyBorder="1" applyAlignment="1">
      <alignment horizontal="right" vertical="center"/>
    </xf>
    <xf numFmtId="0" fontId="34" fillId="20" borderId="0" xfId="4" applyFont="1" applyFill="1" applyAlignment="1">
      <alignment horizontal="right" vertical="center"/>
    </xf>
    <xf numFmtId="169" fontId="3" fillId="0" borderId="0" xfId="4" quotePrefix="1" applyNumberFormat="1" applyFont="1" applyAlignment="1">
      <alignment horizontal="left" vertical="center" wrapText="1"/>
    </xf>
    <xf numFmtId="0" fontId="34" fillId="15" borderId="0" xfId="4" applyFont="1" applyFill="1" applyAlignment="1">
      <alignment horizontal="right" vertical="center"/>
    </xf>
    <xf numFmtId="0" fontId="27" fillId="0" borderId="0" xfId="4" applyFont="1" applyAlignment="1">
      <alignment horizontal="center" vertical="center"/>
    </xf>
    <xf numFmtId="0" fontId="3" fillId="0" borderId="0" xfId="4" applyFont="1" applyAlignment="1">
      <alignment vertical="center" wrapText="1"/>
    </xf>
    <xf numFmtId="0" fontId="27" fillId="12" borderId="0" xfId="4" applyFont="1" applyFill="1" applyAlignment="1">
      <alignment horizontal="left" vertical="center" wrapText="1"/>
    </xf>
    <xf numFmtId="0" fontId="27" fillId="0" borderId="0" xfId="4" applyFont="1" applyAlignment="1">
      <alignment horizontal="left" vertical="center" wrapText="1"/>
    </xf>
    <xf numFmtId="168" fontId="3" fillId="0" borderId="0" xfId="4" quotePrefix="1" applyNumberFormat="1" applyFont="1" applyAlignment="1">
      <alignment horizontal="left" vertical="center" wrapText="1"/>
    </xf>
    <xf numFmtId="0" fontId="30" fillId="19" borderId="0" xfId="4" applyFont="1" applyFill="1" applyAlignment="1" applyProtection="1">
      <alignment vertical="center"/>
      <protection hidden="1"/>
    </xf>
    <xf numFmtId="0" fontId="2" fillId="19" borderId="0" xfId="4" applyFont="1" applyFill="1" applyAlignment="1" applyProtection="1">
      <alignment horizontal="right" vertical="center"/>
      <protection hidden="1"/>
    </xf>
    <xf numFmtId="0" fontId="34" fillId="19" borderId="0" xfId="4" applyFont="1" applyFill="1" applyAlignment="1">
      <alignment horizontal="left" vertical="center" wrapText="1"/>
    </xf>
    <xf numFmtId="0" fontId="30" fillId="19" borderId="0" xfId="4" applyFont="1" applyFill="1" applyAlignment="1">
      <alignment horizontal="center" vertical="center"/>
    </xf>
    <xf numFmtId="0" fontId="3" fillId="19" borderId="0" xfId="4" applyFont="1" applyFill="1" applyAlignment="1" applyProtection="1">
      <alignment vertical="center"/>
      <protection hidden="1"/>
    </xf>
    <xf numFmtId="165" fontId="3" fillId="0" borderId="0" xfId="4" applyNumberFormat="1" applyFont="1" applyAlignment="1" applyProtection="1">
      <alignment vertical="center"/>
      <protection hidden="1"/>
    </xf>
    <xf numFmtId="0" fontId="3" fillId="19" borderId="0" xfId="0" applyFont="1" applyFill="1" applyAlignment="1" applyProtection="1">
      <alignment vertical="center"/>
      <protection hidden="1"/>
    </xf>
    <xf numFmtId="0" fontId="2" fillId="19" borderId="0" xfId="0" applyFont="1" applyFill="1" applyAlignment="1" applyProtection="1">
      <alignment horizontal="right" vertical="center"/>
      <protection hidden="1"/>
    </xf>
    <xf numFmtId="0" fontId="37" fillId="19" borderId="0" xfId="4" applyFont="1" applyFill="1" applyAlignment="1">
      <alignment horizontal="left" vertical="center"/>
    </xf>
    <xf numFmtId="0" fontId="37" fillId="0" borderId="0" xfId="4" applyFont="1" applyAlignment="1">
      <alignment horizontal="left" vertical="center"/>
    </xf>
    <xf numFmtId="0" fontId="58" fillId="19" borderId="0" xfId="0" applyFont="1" applyFill="1" applyAlignment="1">
      <alignment vertical="center"/>
    </xf>
    <xf numFmtId="0" fontId="3" fillId="19" borderId="0" xfId="0" applyFont="1" applyFill="1" applyAlignment="1">
      <alignment horizontal="right" vertical="center"/>
    </xf>
    <xf numFmtId="0" fontId="3" fillId="19" borderId="0" xfId="0" applyFont="1" applyFill="1" applyAlignment="1" applyProtection="1">
      <alignment horizontal="right" vertical="center"/>
      <protection hidden="1"/>
    </xf>
    <xf numFmtId="0" fontId="3" fillId="19" borderId="0" xfId="4" applyFont="1" applyFill="1" applyAlignment="1">
      <alignment horizontal="right" vertical="center"/>
    </xf>
    <xf numFmtId="0" fontId="3" fillId="19" borderId="0" xfId="4" applyFont="1" applyFill="1" applyAlignment="1">
      <alignment horizontal="left" vertical="center"/>
    </xf>
    <xf numFmtId="0" fontId="6" fillId="19" borderId="0" xfId="4" applyFont="1" applyFill="1" applyAlignment="1">
      <alignment vertical="center"/>
    </xf>
    <xf numFmtId="0" fontId="59" fillId="0" borderId="0" xfId="4" applyFont="1" applyAlignment="1">
      <alignment horizontal="center" vertical="center"/>
    </xf>
    <xf numFmtId="0" fontId="6" fillId="0" borderId="0" xfId="4" applyFont="1" applyAlignment="1">
      <alignment vertical="center"/>
    </xf>
    <xf numFmtId="0" fontId="65" fillId="19" borderId="0" xfId="0" applyFont="1" applyFill="1" applyAlignment="1">
      <alignment horizontal="right" vertical="center"/>
    </xf>
    <xf numFmtId="0" fontId="67" fillId="19" borderId="0" xfId="0" applyFont="1" applyFill="1" applyAlignment="1">
      <alignment vertical="center" wrapText="1"/>
    </xf>
    <xf numFmtId="2" fontId="65" fillId="19" borderId="0" xfId="0" applyNumberFormat="1" applyFont="1" applyFill="1" applyAlignment="1">
      <alignment vertical="center"/>
    </xf>
    <xf numFmtId="0" fontId="65" fillId="19" borderId="0" xfId="0" applyFont="1" applyFill="1" applyAlignment="1">
      <alignment vertical="center"/>
    </xf>
    <xf numFmtId="0" fontId="6" fillId="19" borderId="0" xfId="0" applyFont="1" applyFill="1" applyAlignment="1" applyProtection="1">
      <alignment vertical="center"/>
      <protection hidden="1"/>
    </xf>
    <xf numFmtId="0" fontId="6" fillId="19" borderId="0" xfId="0" applyFont="1" applyFill="1" applyAlignment="1" applyProtection="1">
      <alignment horizontal="center" vertical="center"/>
      <protection hidden="1"/>
    </xf>
    <xf numFmtId="0" fontId="6" fillId="15" borderId="0" xfId="0" applyFont="1" applyFill="1" applyAlignment="1" applyProtection="1">
      <alignment vertical="center"/>
      <protection hidden="1"/>
    </xf>
    <xf numFmtId="0" fontId="6" fillId="20" borderId="0" xfId="0" applyFont="1" applyFill="1" applyAlignment="1" applyProtection="1">
      <alignment horizontal="center" vertical="center"/>
      <protection hidden="1"/>
    </xf>
    <xf numFmtId="0" fontId="6" fillId="0" borderId="0" xfId="0" applyFont="1" applyAlignment="1" applyProtection="1">
      <alignment horizontal="center" vertical="center"/>
      <protection hidden="1"/>
    </xf>
    <xf numFmtId="0" fontId="6" fillId="0" borderId="0" xfId="0" applyFont="1" applyAlignment="1" applyProtection="1">
      <alignment vertical="center"/>
      <protection hidden="1"/>
    </xf>
    <xf numFmtId="0" fontId="6" fillId="0" borderId="0" xfId="0" applyFont="1" applyAlignment="1">
      <alignment vertical="center"/>
    </xf>
    <xf numFmtId="2" fontId="3" fillId="19" borderId="0" xfId="0" applyNumberFormat="1" applyFont="1" applyFill="1" applyAlignment="1" applyProtection="1">
      <alignment horizontal="center" vertical="center"/>
      <protection hidden="1"/>
    </xf>
    <xf numFmtId="2" fontId="3" fillId="19" borderId="0" xfId="0" applyNumberFormat="1" applyFont="1" applyFill="1" applyAlignment="1">
      <alignment vertical="center"/>
    </xf>
    <xf numFmtId="0" fontId="6" fillId="19" borderId="0" xfId="0" applyFont="1" applyFill="1" applyAlignment="1">
      <alignment vertical="center"/>
    </xf>
    <xf numFmtId="1" fontId="9" fillId="0" borderId="0" xfId="8" applyNumberFormat="1" applyFont="1" applyAlignment="1" applyProtection="1">
      <alignment horizontal="center"/>
      <protection hidden="1"/>
    </xf>
    <xf numFmtId="164" fontId="9" fillId="2" borderId="0" xfId="8" applyNumberFormat="1" applyFont="1" applyFill="1" applyAlignment="1" applyProtection="1">
      <alignment horizontal="center" vertical="center"/>
      <protection locked="0" hidden="1"/>
    </xf>
    <xf numFmtId="0" fontId="66" fillId="0" borderId="0" xfId="0" applyFont="1" applyAlignment="1">
      <alignment vertical="center"/>
    </xf>
    <xf numFmtId="0" fontId="61" fillId="0" borderId="0" xfId="0" applyFont="1" applyAlignment="1">
      <alignment vertical="center"/>
    </xf>
    <xf numFmtId="0" fontId="3" fillId="12" borderId="0" xfId="0" applyFont="1" applyFill="1" applyAlignment="1">
      <alignment horizontal="center" vertical="center" wrapText="1"/>
    </xf>
    <xf numFmtId="0" fontId="0" fillId="12" borderId="0" xfId="0" applyFill="1" applyAlignment="1">
      <alignment horizontal="center" vertical="center"/>
    </xf>
    <xf numFmtId="9" fontId="34" fillId="12" borderId="0" xfId="0" applyNumberFormat="1" applyFont="1" applyFill="1" applyAlignment="1">
      <alignment horizontal="center" vertical="center" wrapText="1"/>
    </xf>
    <xf numFmtId="9" fontId="38" fillId="12" borderId="0" xfId="0" applyNumberFormat="1" applyFont="1" applyFill="1" applyAlignment="1">
      <alignment horizontal="center" vertical="center" wrapText="1"/>
    </xf>
    <xf numFmtId="0" fontId="27" fillId="12" borderId="0" xfId="0" applyFont="1" applyFill="1" applyAlignment="1">
      <alignment horizontal="center" vertical="center"/>
    </xf>
    <xf numFmtId="0" fontId="38" fillId="19" borderId="0" xfId="0" applyFont="1" applyFill="1" applyAlignment="1">
      <alignment horizontal="center" vertical="center"/>
    </xf>
    <xf numFmtId="0" fontId="34" fillId="12" borderId="0" xfId="0" applyFont="1" applyFill="1" applyAlignment="1">
      <alignment horizontal="center" vertical="center" wrapText="1"/>
    </xf>
    <xf numFmtId="49" fontId="34" fillId="12" borderId="0" xfId="0" applyNumberFormat="1" applyFont="1" applyFill="1" applyAlignment="1">
      <alignment horizontal="center" vertical="center"/>
    </xf>
    <xf numFmtId="0" fontId="3" fillId="12" borderId="0" xfId="0" applyFont="1" applyFill="1" applyAlignment="1">
      <alignment horizontal="center" vertical="center"/>
    </xf>
    <xf numFmtId="0" fontId="8" fillId="0" borderId="0" xfId="0" applyFont="1" applyAlignment="1">
      <alignment vertical="center"/>
    </xf>
    <xf numFmtId="0" fontId="8" fillId="0" borderId="0" xfId="0" applyFont="1" applyAlignment="1">
      <alignment horizontal="left" vertical="center" wrapText="1"/>
    </xf>
    <xf numFmtId="165" fontId="3" fillId="18" borderId="0" xfId="0" applyNumberFormat="1" applyFont="1" applyFill="1" applyAlignment="1" applyProtection="1">
      <alignment vertical="center"/>
      <protection locked="0" hidden="1"/>
    </xf>
    <xf numFmtId="169" fontId="3" fillId="0" borderId="0" xfId="0" quotePrefix="1" applyNumberFormat="1" applyFont="1" applyAlignment="1">
      <alignment horizontal="left" vertical="top" wrapText="1"/>
    </xf>
    <xf numFmtId="0" fontId="34" fillId="12" borderId="0" xfId="4" applyFont="1" applyFill="1" applyAlignment="1">
      <alignment horizontal="left" wrapText="1"/>
    </xf>
    <xf numFmtId="0" fontId="60" fillId="19" borderId="0" xfId="0" applyFont="1" applyFill="1" applyAlignment="1">
      <alignment horizontal="right" vertical="center"/>
    </xf>
    <xf numFmtId="18" fontId="34" fillId="12" borderId="0" xfId="0" quotePrefix="1" applyNumberFormat="1" applyFont="1" applyFill="1" applyAlignment="1">
      <alignment horizontal="center" vertical="center" wrapText="1"/>
    </xf>
    <xf numFmtId="0" fontId="3" fillId="0" borderId="0" xfId="4" applyFont="1" applyAlignment="1">
      <alignment vertical="center"/>
    </xf>
    <xf numFmtId="0" fontId="34" fillId="0" borderId="0" xfId="4" quotePrefix="1" applyFont="1" applyAlignment="1">
      <alignment horizontal="left" vertical="center"/>
    </xf>
    <xf numFmtId="0" fontId="30" fillId="0" borderId="0" xfId="0" quotePrefix="1" applyFont="1" applyAlignment="1" applyProtection="1">
      <alignment vertical="center"/>
      <protection hidden="1"/>
    </xf>
    <xf numFmtId="0" fontId="33" fillId="0" borderId="0" xfId="0" applyFont="1" applyAlignment="1" applyProtection="1">
      <alignment horizontal="left" vertical="center"/>
      <protection hidden="1"/>
    </xf>
    <xf numFmtId="0" fontId="33" fillId="0" borderId="0" xfId="8" applyFont="1" applyAlignment="1" applyProtection="1">
      <alignment horizontal="left" vertical="center"/>
      <protection hidden="1"/>
    </xf>
    <xf numFmtId="0" fontId="3"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14" fontId="14" fillId="0" borderId="0" xfId="0" quotePrefix="1" applyNumberFormat="1" applyFont="1" applyAlignment="1" applyProtection="1">
      <alignment horizontal="center" vertical="center"/>
      <protection hidden="1"/>
    </xf>
    <xf numFmtId="0" fontId="4" fillId="0" borderId="0" xfId="0" applyFont="1" applyAlignment="1" applyProtection="1">
      <alignment horizontal="left" vertical="center"/>
      <protection hidden="1"/>
    </xf>
    <xf numFmtId="0" fontId="4" fillId="2" borderId="0" xfId="0" applyFont="1" applyFill="1" applyAlignment="1" applyProtection="1">
      <alignment horizontal="left" vertical="center"/>
      <protection locked="0" hidden="1"/>
    </xf>
    <xf numFmtId="0" fontId="3" fillId="2" borderId="0" xfId="0" applyFont="1" applyFill="1" applyAlignment="1" applyProtection="1">
      <alignment horizontal="left" vertical="center"/>
      <protection locked="0" hidden="1"/>
    </xf>
    <xf numFmtId="0" fontId="13" fillId="0" borderId="0" xfId="0" applyFont="1" applyAlignment="1" applyProtection="1">
      <alignment horizontal="left" vertical="center"/>
      <protection hidden="1"/>
    </xf>
    <xf numFmtId="14" fontId="31" fillId="0" borderId="0" xfId="0" quotePrefix="1" applyNumberFormat="1" applyFont="1" applyAlignment="1" applyProtection="1">
      <alignment horizontal="center" vertical="center"/>
      <protection hidden="1"/>
    </xf>
    <xf numFmtId="0" fontId="4" fillId="0" borderId="0" xfId="0" applyFont="1" applyAlignment="1" applyProtection="1">
      <alignment vertical="center"/>
      <protection hidden="1"/>
    </xf>
    <xf numFmtId="164" fontId="50" fillId="2" borderId="0" xfId="0" applyNumberFormat="1" applyFont="1" applyFill="1" applyAlignment="1" applyProtection="1">
      <alignment horizontal="left" vertical="center"/>
      <protection locked="0" hidden="1"/>
    </xf>
    <xf numFmtId="164" fontId="3" fillId="2" borderId="0" xfId="0" applyNumberFormat="1" applyFont="1" applyFill="1" applyAlignment="1" applyProtection="1">
      <alignment horizontal="left" vertical="center"/>
      <protection locked="0" hidden="1"/>
    </xf>
    <xf numFmtId="0" fontId="51" fillId="0" borderId="0" xfId="0" applyFont="1" applyAlignment="1" applyProtection="1">
      <alignment horizontal="left" vertical="center"/>
      <protection hidden="1"/>
    </xf>
    <xf numFmtId="0" fontId="4" fillId="2" borderId="0" xfId="0" applyFont="1" applyFill="1" applyAlignment="1" applyProtection="1">
      <alignment horizontal="left" vertical="center" wrapText="1"/>
      <protection locked="0" hidden="1"/>
    </xf>
    <xf numFmtId="0" fontId="14" fillId="0" borderId="0" xfId="0" applyFont="1" applyAlignment="1" applyProtection="1">
      <alignment horizontal="center" vertical="center"/>
      <protection hidden="1"/>
    </xf>
    <xf numFmtId="0" fontId="14" fillId="0" borderId="0" xfId="0" applyFont="1" applyAlignment="1" applyProtection="1">
      <alignment horizontal="left" vertical="center"/>
      <protection hidden="1"/>
    </xf>
    <xf numFmtId="0" fontId="3" fillId="0" borderId="0" xfId="8" applyFont="1" applyAlignment="1" applyProtection="1">
      <alignment horizontal="left" vertical="center"/>
      <protection hidden="1"/>
    </xf>
    <xf numFmtId="0" fontId="4" fillId="0" borderId="0" xfId="0" applyFont="1" applyAlignment="1" applyProtection="1">
      <alignment horizontal="center" vertical="center"/>
      <protection hidden="1"/>
    </xf>
    <xf numFmtId="0" fontId="4" fillId="2" borderId="0" xfId="8" applyFont="1" applyFill="1" applyAlignment="1" applyProtection="1">
      <alignment horizontal="left" vertical="center"/>
      <protection locked="0" hidden="1"/>
    </xf>
    <xf numFmtId="0" fontId="4" fillId="0" borderId="0" xfId="8" applyFont="1" applyAlignment="1" applyProtection="1">
      <alignment horizontal="center" vertical="center"/>
      <protection hidden="1"/>
    </xf>
    <xf numFmtId="0" fontId="4" fillId="0" borderId="0" xfId="8" applyFont="1" applyAlignment="1" applyProtection="1">
      <alignment horizontal="left" vertical="center"/>
      <protection hidden="1"/>
    </xf>
    <xf numFmtId="0" fontId="3" fillId="2" borderId="0" xfId="8" applyFont="1" applyFill="1" applyAlignment="1" applyProtection="1">
      <alignment horizontal="left" vertical="center"/>
      <protection locked="0" hidden="1"/>
    </xf>
    <xf numFmtId="164" fontId="3" fillId="2" borderId="0" xfId="8" applyNumberFormat="1" applyFont="1" applyFill="1" applyAlignment="1" applyProtection="1">
      <alignment horizontal="left" vertical="center"/>
      <protection locked="0" hidden="1"/>
    </xf>
    <xf numFmtId="2" fontId="3" fillId="0" borderId="0" xfId="8" applyNumberFormat="1" applyFont="1" applyAlignment="1" applyProtection="1">
      <alignment vertical="center"/>
      <protection hidden="1"/>
    </xf>
    <xf numFmtId="0" fontId="8" fillId="0" borderId="0" xfId="8" applyFont="1" applyAlignment="1" applyProtection="1">
      <alignment horizontal="left" vertical="center"/>
      <protection hidden="1"/>
    </xf>
    <xf numFmtId="0" fontId="14" fillId="0" borderId="0" xfId="8" applyFont="1" applyAlignment="1" applyProtection="1">
      <alignment horizontal="center" vertical="center"/>
      <protection hidden="1"/>
    </xf>
    <xf numFmtId="0" fontId="29" fillId="0" borderId="0" xfId="8" applyFont="1" applyAlignment="1">
      <alignment horizontal="left" vertical="center"/>
    </xf>
    <xf numFmtId="0" fontId="31" fillId="0" borderId="0" xfId="4" applyFont="1" applyAlignment="1">
      <alignment horizontal="left" vertical="center"/>
    </xf>
    <xf numFmtId="0" fontId="60" fillId="19" borderId="0" xfId="0" applyFont="1" applyFill="1" applyAlignment="1">
      <alignment horizontal="left" vertical="center" wrapText="1"/>
    </xf>
    <xf numFmtId="0" fontId="8" fillId="0" borderId="0" xfId="0" applyFont="1" applyAlignment="1">
      <alignment horizontal="left" vertical="center" wrapText="1"/>
    </xf>
    <xf numFmtId="0" fontId="3" fillId="0" borderId="0" xfId="0" applyFont="1" applyAlignment="1">
      <alignment horizontal="left" vertical="center" wrapText="1"/>
    </xf>
    <xf numFmtId="0" fontId="38" fillId="0" borderId="0" xfId="0" applyFont="1" applyAlignment="1">
      <alignment horizontal="left" vertical="center" wrapText="1"/>
    </xf>
    <xf numFmtId="0" fontId="34" fillId="0" borderId="0" xfId="0" applyFont="1" applyAlignment="1">
      <alignment horizontal="left" vertical="center" wrapText="1"/>
    </xf>
  </cellXfs>
  <cellStyles count="9">
    <cellStyle name="Bedingung" xfId="1" xr:uid="{00000000-0005-0000-0000-000000000000}"/>
    <cellStyle name="Gut 2" xfId="5" xr:uid="{50438C06-467C-499F-A3AE-683289844582}"/>
    <cellStyle name="ha" xfId="2" xr:uid="{00000000-0005-0000-0000-000001000000}"/>
    <cellStyle name="Neutral 2" xfId="6" xr:uid="{7B0D9CD8-46DC-4267-BECD-B29382663426}"/>
    <cellStyle name="Prozent" xfId="7" builtinId="5"/>
    <cellStyle name="Standard" xfId="0" builtinId="0"/>
    <cellStyle name="Standard 2" xfId="4" xr:uid="{71E55A08-B162-49A9-B0C9-507DB7C3E946}"/>
    <cellStyle name="Standard 3" xfId="8" xr:uid="{5A217FC3-5188-43A0-B76B-9FF8C54D14FD}"/>
    <cellStyle name="Zahl int" xfId="3" xr:uid="{00000000-0005-0000-0000-000004000000}"/>
  </cellStyles>
  <dxfs count="15">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ont>
        <color rgb="FF9C0006"/>
      </font>
    </dxf>
    <dxf>
      <font>
        <color rgb="FF9C0006"/>
      </font>
      <fill>
        <patternFill>
          <bgColor rgb="FFFFC7CE"/>
        </patternFill>
      </fill>
    </dxf>
    <dxf>
      <font>
        <color rgb="FF9C0006"/>
      </font>
      <fill>
        <patternFill>
          <bgColor rgb="FFFFC7CE"/>
        </patternFill>
      </fill>
    </dxf>
    <dxf>
      <fill>
        <patternFill>
          <bgColor theme="9" tint="-0.24994659260841701"/>
        </patternFill>
      </fill>
    </dxf>
    <dxf>
      <fill>
        <patternFill>
          <bgColor theme="0" tint="-0.14996795556505021"/>
        </patternFill>
      </fill>
    </dxf>
    <dxf>
      <fill>
        <patternFill>
          <bgColor rgb="FFFFCC00"/>
        </patternFill>
      </fill>
    </dxf>
  </dxfs>
  <tableStyles count="0" defaultTableStyle="TableStyleMedium2" defaultPivotStyle="PivotStyleLight16"/>
  <colors>
    <mruColors>
      <color rgb="FFCCFFCC"/>
      <color rgb="FFFFFF99"/>
      <color rgb="FFFF99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fmlaLink="$B$47" lockText="1" noThreeD="1"/>
</file>

<file path=xl/ctrlProps/ctrlProp2.xml><?xml version="1.0" encoding="utf-8"?>
<formControlPr xmlns="http://schemas.microsoft.com/office/spreadsheetml/2009/9/main" objectType="CheckBox" fmlaLink="$E$47" lockText="1" noThreeD="1"/>
</file>

<file path=xl/ctrlProps/ctrlProp3.xml><?xml version="1.0" encoding="utf-8"?>
<formControlPr xmlns="http://schemas.microsoft.com/office/spreadsheetml/2009/9/main" objectType="CheckBox" fmlaLink="$I$47" lockText="1" noThreeD="1"/>
</file>

<file path=xl/ctrlProps/ctrlProp4.xml><?xml version="1.0" encoding="utf-8"?>
<formControlPr xmlns="http://schemas.microsoft.com/office/spreadsheetml/2009/9/main" objectType="CheckBox" fmlaLink="$B$48" lockText="1" noThreeD="1"/>
</file>

<file path=xl/ctrlProps/ctrlProp5.xml><?xml version="1.0" encoding="utf-8"?>
<formControlPr xmlns="http://schemas.microsoft.com/office/spreadsheetml/2009/9/main" objectType="CheckBox" fmlaLink="$B$49" lockText="1" noThreeD="1"/>
</file>

<file path=xl/ctrlProps/ctrlProp6.xml><?xml version="1.0" encoding="utf-8"?>
<formControlPr xmlns="http://schemas.microsoft.com/office/spreadsheetml/2009/9/main" objectType="CheckBox" fmlaLink="$I48" lockText="1" noThreeD="1"/>
</file>

<file path=xl/ctrlProps/ctrlProp7.xml><?xml version="1.0" encoding="utf-8"?>
<formControlPr xmlns="http://schemas.microsoft.com/office/spreadsheetml/2009/9/main" objectType="CheckBox" fmlaLink="$E$49" lockText="1" noThreeD="1"/>
</file>

<file path=xl/ctrlProps/ctrlProp8.xml><?xml version="1.0" encoding="utf-8"?>
<formControlPr xmlns="http://schemas.microsoft.com/office/spreadsheetml/2009/9/main" objectType="CheckBox" fmlaLink="$E$48" lockText="1" noThreeD="1"/>
</file>

<file path=xl/ctrlProps/ctrlProp9.xml><?xml version="1.0" encoding="utf-8"?>
<formControlPr xmlns="http://schemas.microsoft.com/office/spreadsheetml/2009/9/main" objectType="CheckBox" fmlaLink="I49" lockText="1" noThreeD="1"/>
</file>

<file path=xl/ctrlProps/ctrlProp10.xml><?xml version="1.0" encoding="utf-8"?>
<formControlPr xmlns="http://schemas.microsoft.com/office/spreadsheetml/2009/9/main" objectType="CheckBox" fmlaLink="B205" lockText="1" noThreeD="1"/>
</file>

<file path=xl/ctrlProps/ctrlProp11.xml><?xml version="1.0" encoding="utf-8"?>
<formControlPr xmlns="http://schemas.microsoft.com/office/spreadsheetml/2009/9/main" objectType="CheckBox" fmlaLink="B205" lockText="1" noThreeD="1"/>
</file>

<file path=xl/ctrlProps/ctrlProp12.xml><?xml version="1.0" encoding="utf-8"?>
<formControlPr xmlns="http://schemas.microsoft.com/office/spreadsheetml/2009/9/main" objectType="CheckBox" fmlaLink="$B$47" lockText="1" noThreeD="1"/>
</file>

<file path=xl/ctrlProps/ctrlProp13.xml><?xml version="1.0" encoding="utf-8"?>
<formControlPr xmlns="http://schemas.microsoft.com/office/spreadsheetml/2009/9/main" objectType="CheckBox" fmlaLink="$E$47" lockText="1" noThreeD="1"/>
</file>

<file path=xl/ctrlProps/ctrlProp14.xml><?xml version="1.0" encoding="utf-8"?>
<formControlPr xmlns="http://schemas.microsoft.com/office/spreadsheetml/2009/9/main" objectType="CheckBox" fmlaLink="$I$47" lockText="1" noThreeD="1"/>
</file>

<file path=xl/ctrlProps/ctrlProp15.xml><?xml version="1.0" encoding="utf-8"?>
<formControlPr xmlns="http://schemas.microsoft.com/office/spreadsheetml/2009/9/main" objectType="CheckBox" fmlaLink="$B$48" lockText="1" noThreeD="1"/>
</file>

<file path=xl/ctrlProps/ctrlProp16.xml><?xml version="1.0" encoding="utf-8"?>
<formControlPr xmlns="http://schemas.microsoft.com/office/spreadsheetml/2009/9/main" objectType="CheckBox" fmlaLink="$B$51" lockText="1" noThreeD="1"/>
</file>

<file path=xl/ctrlProps/ctrlProp17.xml><?xml version="1.0" encoding="utf-8"?>
<formControlPr xmlns="http://schemas.microsoft.com/office/spreadsheetml/2009/9/main" objectType="CheckBox" fmlaLink="$I48" lockText="1" noThreeD="1"/>
</file>

<file path=xl/ctrlProps/ctrlProp18.xml><?xml version="1.0" encoding="utf-8"?>
<formControlPr xmlns="http://schemas.microsoft.com/office/spreadsheetml/2009/9/main" objectType="CheckBox" fmlaLink="$E$49" lockText="1" noThreeD="1"/>
</file>

<file path=xl/ctrlProps/ctrlProp19.xml><?xml version="1.0" encoding="utf-8"?>
<formControlPr xmlns="http://schemas.microsoft.com/office/spreadsheetml/2009/9/main" objectType="CheckBox" fmlaLink="I49" lockText="1" noThreeD="1"/>
</file>

<file path=xl/ctrlProps/ctrlProp20.xml><?xml version="1.0" encoding="utf-8"?>
<formControlPr xmlns="http://schemas.microsoft.com/office/spreadsheetml/2009/9/main" objectType="CheckBox" fmlaLink="$E$48" lockText="1" noThreeD="1"/>
</file>

<file path=xl/ctrlProps/ctrlProp21.xml><?xml version="1.0" encoding="utf-8"?>
<formControlPr xmlns="http://schemas.microsoft.com/office/spreadsheetml/2009/9/main" objectType="CheckBox" fmlaLink="$B$49" lockText="1" noThreeD="1"/>
</file>

<file path=xl/ctrlProps/ctrlProp22.xml><?xml version="1.0" encoding="utf-8"?>
<formControlPr xmlns="http://schemas.microsoft.com/office/spreadsheetml/2009/9/main" objectType="CheckBox" fmlaLink="B205" lockText="1" noThreeD="1"/>
</file>

<file path=xl/ctrlProps/ctrlProp23.xml><?xml version="1.0" encoding="utf-8"?>
<formControlPr xmlns="http://schemas.microsoft.com/office/spreadsheetml/2009/9/main" objectType="CheckBox" fmlaLink="B216" lockText="1" noThreeD="1"/>
</file>

<file path=xl/ctrlProps/ctrlProp24.xml><?xml version="1.0" encoding="utf-8"?>
<formControlPr xmlns="http://schemas.microsoft.com/office/spreadsheetml/2009/9/main" objectType="CheckBox" fmlaLink="B205"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46</xdr:row>
          <xdr:rowOff>66675</xdr:rowOff>
        </xdr:from>
        <xdr:to>
          <xdr:col>2</xdr:col>
          <xdr:colOff>419100</xdr:colOff>
          <xdr:row>47</xdr:row>
          <xdr:rowOff>85725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2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Ackerkulturen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46</xdr:row>
          <xdr:rowOff>57150</xdr:rowOff>
        </xdr:from>
        <xdr:to>
          <xdr:col>6</xdr:col>
          <xdr:colOff>400050</xdr:colOff>
          <xdr:row>47</xdr:row>
          <xdr:rowOff>66675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2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Mähwiesen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46</xdr:row>
          <xdr:rowOff>66675</xdr:rowOff>
        </xdr:from>
        <xdr:to>
          <xdr:col>10</xdr:col>
          <xdr:colOff>523875</xdr:colOff>
          <xdr:row>47</xdr:row>
          <xdr:rowOff>76200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2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Weiden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47</xdr:row>
          <xdr:rowOff>9525</xdr:rowOff>
        </xdr:from>
        <xdr:to>
          <xdr:col>2</xdr:col>
          <xdr:colOff>219075</xdr:colOff>
          <xdr:row>48</xdr:row>
          <xdr:rowOff>19050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2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Obstbau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48</xdr:row>
          <xdr:rowOff>9525</xdr:rowOff>
        </xdr:from>
        <xdr:to>
          <xdr:col>2</xdr:col>
          <xdr:colOff>419100</xdr:colOff>
          <xdr:row>49</xdr:row>
          <xdr:rowOff>19050</xdr:rowOff>
        </xdr:to>
        <xdr:sp macro="" textlink="">
          <xdr:nvSpPr>
            <xdr:cNvPr id="1114" name="Check Box 90" descr="Gemüsebau" hidden="1">
              <a:extLst>
                <a:ext uri="{63B3BB69-23CF-44E3-9099-C40C66FF867C}">
                  <a14:compatExt spid="_x0000_s1114"/>
                </a:ext>
                <a:ext uri="{FF2B5EF4-FFF2-40B4-BE49-F238E27FC236}">
                  <a16:creationId xmlns:a16="http://schemas.microsoft.com/office/drawing/2014/main" id="{00000000-0008-0000-02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Gemüsebau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46</xdr:row>
          <xdr:rowOff>257175</xdr:rowOff>
        </xdr:from>
        <xdr:to>
          <xdr:col>10</xdr:col>
          <xdr:colOff>361950</xdr:colOff>
          <xdr:row>48</xdr:row>
          <xdr:rowOff>9525</xdr:rowOff>
        </xdr:to>
        <xdr:sp macro="" textlink="">
          <xdr:nvSpPr>
            <xdr:cNvPr id="1115" name="Check Box 91" descr="Rebbau" hidden="1">
              <a:extLst>
                <a:ext uri="{63B3BB69-23CF-44E3-9099-C40C66FF867C}">
                  <a14:compatExt spid="_x0000_s1115"/>
                </a:ext>
                <a:ext uri="{FF2B5EF4-FFF2-40B4-BE49-F238E27FC236}">
                  <a16:creationId xmlns:a16="http://schemas.microsoft.com/office/drawing/2014/main" id="{00000000-0008-0000-02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Rebbau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47</xdr:row>
          <xdr:rowOff>171450</xdr:rowOff>
        </xdr:from>
        <xdr:to>
          <xdr:col>8</xdr:col>
          <xdr:colOff>200025</xdr:colOff>
          <xdr:row>49</xdr:row>
          <xdr:rowOff>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2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andere Spezialkulturen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47</xdr:row>
          <xdr:rowOff>190500</xdr:rowOff>
        </xdr:from>
        <xdr:to>
          <xdr:col>12</xdr:col>
          <xdr:colOff>85725</xdr:colOff>
          <xdr:row>49</xdr:row>
          <xdr:rowOff>0</xdr:rowOff>
        </xdr:to>
        <xdr:sp macro="" textlink="">
          <xdr:nvSpPr>
            <xdr:cNvPr id="1122" name="Check Box 98" descr="Gemüsebau" hidden="1">
              <a:extLst>
                <a:ext uri="{63B3BB69-23CF-44E3-9099-C40C66FF867C}">
                  <a14:compatExt spid="_x0000_s1122"/>
                </a:ext>
                <a:ext uri="{FF2B5EF4-FFF2-40B4-BE49-F238E27FC236}">
                  <a16:creationId xmlns:a16="http://schemas.microsoft.com/office/drawing/2014/main" id="{00000000-0008-0000-02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Streueflächen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46</xdr:row>
          <xdr:rowOff>247650</xdr:rowOff>
        </xdr:from>
        <xdr:to>
          <xdr:col>8</xdr:col>
          <xdr:colOff>19050</xdr:colOff>
          <xdr:row>48</xdr:row>
          <xdr:rowOff>9525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2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Hochstamm-Obstbau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204</xdr:row>
          <xdr:rowOff>0</xdr:rowOff>
        </xdr:from>
        <xdr:to>
          <xdr:col>1</xdr:col>
          <xdr:colOff>514350</xdr:colOff>
          <xdr:row>205</xdr:row>
          <xdr:rowOff>19050</xdr:rowOff>
        </xdr:to>
        <xdr:sp macro="" textlink="">
          <xdr:nvSpPr>
            <xdr:cNvPr id="1578" name="Check Box 554" hidden="1">
              <a:extLst>
                <a:ext uri="{63B3BB69-23CF-44E3-9099-C40C66FF867C}">
                  <a14:compatExt spid="_x0000_s1578"/>
                </a:ext>
                <a:ext uri="{FF2B5EF4-FFF2-40B4-BE49-F238E27FC236}">
                  <a16:creationId xmlns:a16="http://schemas.microsoft.com/office/drawing/2014/main" id="{00000000-0008-0000-0200-00002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0</xdr:col>
      <xdr:colOff>33131</xdr:colOff>
      <xdr:row>1</xdr:row>
      <xdr:rowOff>49696</xdr:rowOff>
    </xdr:from>
    <xdr:to>
      <xdr:col>2</xdr:col>
      <xdr:colOff>855373</xdr:colOff>
      <xdr:row>1</xdr:row>
      <xdr:rowOff>564046</xdr:rowOff>
    </xdr:to>
    <xdr:pic>
      <xdr:nvPicPr>
        <xdr:cNvPr id="2" name="Grafik 1" descr="Ein Bild, das Symbol, Grafiken, Logo, Karminrot enthält.&#10;&#10;Automatisch generierte Beschreibung">
          <a:extLst>
            <a:ext uri="{FF2B5EF4-FFF2-40B4-BE49-F238E27FC236}">
              <a16:creationId xmlns:a16="http://schemas.microsoft.com/office/drawing/2014/main" id="{74E102A2-497B-51A2-C128-C8C8B84202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131" y="281609"/>
          <a:ext cx="1799590" cy="5143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209550</xdr:colOff>
          <xdr:row>193</xdr:row>
          <xdr:rowOff>0</xdr:rowOff>
        </xdr:from>
        <xdr:to>
          <xdr:col>1</xdr:col>
          <xdr:colOff>514350</xdr:colOff>
          <xdr:row>194</xdr:row>
          <xdr:rowOff>19050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2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19</xdr:col>
      <xdr:colOff>492125</xdr:colOff>
      <xdr:row>1</xdr:row>
      <xdr:rowOff>7938</xdr:rowOff>
    </xdr:from>
    <xdr:to>
      <xdr:col>20</xdr:col>
      <xdr:colOff>532947</xdr:colOff>
      <xdr:row>2</xdr:row>
      <xdr:rowOff>34699</xdr:rowOff>
    </xdr:to>
    <xdr:pic>
      <xdr:nvPicPr>
        <xdr:cNvPr id="3" name="Grafik 2">
          <a:extLst>
            <a:ext uri="{FF2B5EF4-FFF2-40B4-BE49-F238E27FC236}">
              <a16:creationId xmlns:a16="http://schemas.microsoft.com/office/drawing/2014/main" id="{D1A8C520-D2BF-410C-BE5F-CD8E609E3A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8313" y="325438"/>
          <a:ext cx="564697" cy="6776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44</xdr:row>
          <xdr:rowOff>66675</xdr:rowOff>
        </xdr:from>
        <xdr:to>
          <xdr:col>3</xdr:col>
          <xdr:colOff>123825</xdr:colOff>
          <xdr:row>49</xdr:row>
          <xdr:rowOff>171450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3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Ackerkulturen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46</xdr:row>
          <xdr:rowOff>104775</xdr:rowOff>
        </xdr:from>
        <xdr:to>
          <xdr:col>6</xdr:col>
          <xdr:colOff>485775</xdr:colOff>
          <xdr:row>47</xdr:row>
          <xdr:rowOff>114300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3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Mähwiesen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46</xdr:row>
          <xdr:rowOff>104775</xdr:rowOff>
        </xdr:from>
        <xdr:to>
          <xdr:col>10</xdr:col>
          <xdr:colOff>638175</xdr:colOff>
          <xdr:row>47</xdr:row>
          <xdr:rowOff>114300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3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Weiden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47</xdr:row>
          <xdr:rowOff>38100</xdr:rowOff>
        </xdr:from>
        <xdr:to>
          <xdr:col>2</xdr:col>
          <xdr:colOff>314325</xdr:colOff>
          <xdr:row>48</xdr:row>
          <xdr:rowOff>47625</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3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Obstbau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48</xdr:row>
          <xdr:rowOff>38100</xdr:rowOff>
        </xdr:from>
        <xdr:to>
          <xdr:col>2</xdr:col>
          <xdr:colOff>209550</xdr:colOff>
          <xdr:row>49</xdr:row>
          <xdr:rowOff>47625</xdr:rowOff>
        </xdr:to>
        <xdr:sp macro="" textlink="">
          <xdr:nvSpPr>
            <xdr:cNvPr id="4153" name="Check Box 57" descr="Gemüsebau" hidden="1">
              <a:extLst>
                <a:ext uri="{63B3BB69-23CF-44E3-9099-C40C66FF867C}">
                  <a14:compatExt spid="_x0000_s4153"/>
                </a:ext>
                <a:ext uri="{FF2B5EF4-FFF2-40B4-BE49-F238E27FC236}">
                  <a16:creationId xmlns:a16="http://schemas.microsoft.com/office/drawing/2014/main" id="{00000000-0008-0000-03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Gemüsebau</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47</xdr:row>
          <xdr:rowOff>38100</xdr:rowOff>
        </xdr:from>
        <xdr:to>
          <xdr:col>10</xdr:col>
          <xdr:colOff>361950</xdr:colOff>
          <xdr:row>48</xdr:row>
          <xdr:rowOff>47625</xdr:rowOff>
        </xdr:to>
        <xdr:sp macro="" textlink="">
          <xdr:nvSpPr>
            <xdr:cNvPr id="4154" name="Check Box 58" descr="Rebbau" hidden="1">
              <a:extLst>
                <a:ext uri="{63B3BB69-23CF-44E3-9099-C40C66FF867C}">
                  <a14:compatExt spid="_x0000_s4154"/>
                </a:ext>
                <a:ext uri="{FF2B5EF4-FFF2-40B4-BE49-F238E27FC236}">
                  <a16:creationId xmlns:a16="http://schemas.microsoft.com/office/drawing/2014/main" id="{00000000-0008-0000-03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Rebbau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48</xdr:row>
          <xdr:rowOff>28575</xdr:rowOff>
        </xdr:from>
        <xdr:to>
          <xdr:col>8</xdr:col>
          <xdr:colOff>276225</xdr:colOff>
          <xdr:row>49</xdr:row>
          <xdr:rowOff>57150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3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andere Spezialkulturen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48</xdr:row>
          <xdr:rowOff>38100</xdr:rowOff>
        </xdr:from>
        <xdr:to>
          <xdr:col>12</xdr:col>
          <xdr:colOff>142875</xdr:colOff>
          <xdr:row>49</xdr:row>
          <xdr:rowOff>47625</xdr:rowOff>
        </xdr:to>
        <xdr:sp macro="" textlink="">
          <xdr:nvSpPr>
            <xdr:cNvPr id="4156" name="Check Box 60" descr="Gemüsebau" hidden="1">
              <a:extLst>
                <a:ext uri="{63B3BB69-23CF-44E3-9099-C40C66FF867C}">
                  <a14:compatExt spid="_x0000_s4156"/>
                </a:ext>
                <a:ext uri="{FF2B5EF4-FFF2-40B4-BE49-F238E27FC236}">
                  <a16:creationId xmlns:a16="http://schemas.microsoft.com/office/drawing/2014/main" id="{00000000-0008-0000-03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Streueflächen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47</xdr:row>
          <xdr:rowOff>38100</xdr:rowOff>
        </xdr:from>
        <xdr:to>
          <xdr:col>8</xdr:col>
          <xdr:colOff>133350</xdr:colOff>
          <xdr:row>48</xdr:row>
          <xdr:rowOff>47625</xdr:rowOff>
        </xdr:to>
        <xdr:sp macro="" textlink="">
          <xdr:nvSpPr>
            <xdr:cNvPr id="4157" name="Check Box 61" hidden="1">
              <a:extLst>
                <a:ext uri="{63B3BB69-23CF-44E3-9099-C40C66FF867C}">
                  <a14:compatExt spid="_x0000_s4157"/>
                </a:ext>
                <a:ext uri="{FF2B5EF4-FFF2-40B4-BE49-F238E27FC236}">
                  <a16:creationId xmlns:a16="http://schemas.microsoft.com/office/drawing/2014/main" id="{00000000-0008-0000-03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Hochstamm-Obstbau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48</xdr:row>
          <xdr:rowOff>38100</xdr:rowOff>
        </xdr:from>
        <xdr:to>
          <xdr:col>2</xdr:col>
          <xdr:colOff>323850</xdr:colOff>
          <xdr:row>49</xdr:row>
          <xdr:rowOff>47625</xdr:rowOff>
        </xdr:to>
        <xdr:sp macro="" textlink="">
          <xdr:nvSpPr>
            <xdr:cNvPr id="4158" name="Check Box 62" descr="Gemüsebau" hidden="1">
              <a:extLst>
                <a:ext uri="{63B3BB69-23CF-44E3-9099-C40C66FF867C}">
                  <a14:compatExt spid="_x0000_s4158"/>
                </a:ext>
                <a:ext uri="{FF2B5EF4-FFF2-40B4-BE49-F238E27FC236}">
                  <a16:creationId xmlns:a16="http://schemas.microsoft.com/office/drawing/2014/main" id="{00000000-0008-0000-03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Tahoma"/>
                  <a:ea typeface="Tahoma"/>
                  <a:cs typeface="Tahoma"/>
                </a:rPr>
                <a:t> Gemüsebau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204</xdr:row>
          <xdr:rowOff>0</xdr:rowOff>
        </xdr:from>
        <xdr:to>
          <xdr:col>1</xdr:col>
          <xdr:colOff>514350</xdr:colOff>
          <xdr:row>205</xdr:row>
          <xdr:rowOff>19050</xdr:rowOff>
        </xdr:to>
        <xdr:sp macro="" textlink="">
          <xdr:nvSpPr>
            <xdr:cNvPr id="4159" name="Check Box 63" hidden="1">
              <a:extLst>
                <a:ext uri="{63B3BB69-23CF-44E3-9099-C40C66FF867C}">
                  <a14:compatExt spid="_x0000_s4159"/>
                </a:ext>
                <a:ext uri="{FF2B5EF4-FFF2-40B4-BE49-F238E27FC236}">
                  <a16:creationId xmlns:a16="http://schemas.microsoft.com/office/drawing/2014/main" id="{00000000-0008-0000-03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204</xdr:row>
          <xdr:rowOff>0</xdr:rowOff>
        </xdr:from>
        <xdr:to>
          <xdr:col>1</xdr:col>
          <xdr:colOff>514350</xdr:colOff>
          <xdr:row>205</xdr:row>
          <xdr:rowOff>19050</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3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204</xdr:row>
          <xdr:rowOff>0</xdr:rowOff>
        </xdr:from>
        <xdr:to>
          <xdr:col>1</xdr:col>
          <xdr:colOff>514350</xdr:colOff>
          <xdr:row>205</xdr:row>
          <xdr:rowOff>19050</xdr:rowOff>
        </xdr:to>
        <xdr:sp macro="" textlink="">
          <xdr:nvSpPr>
            <xdr:cNvPr id="4161" name="Check Box 65" hidden="1">
              <a:extLst>
                <a:ext uri="{63B3BB69-23CF-44E3-9099-C40C66FF867C}">
                  <a14:compatExt spid="_x0000_s4161"/>
                </a:ext>
                <a:ext uri="{FF2B5EF4-FFF2-40B4-BE49-F238E27FC236}">
                  <a16:creationId xmlns:a16="http://schemas.microsoft.com/office/drawing/2014/main" id="{00000000-0008-0000-03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0</xdr:col>
      <xdr:colOff>49695</xdr:colOff>
      <xdr:row>1</xdr:row>
      <xdr:rowOff>49696</xdr:rowOff>
    </xdr:from>
    <xdr:ext cx="1799590" cy="514350"/>
    <xdr:pic>
      <xdr:nvPicPr>
        <xdr:cNvPr id="5" name="Grafik 4" descr="Ein Bild, das Symbol, Grafiken, Logo, Karminrot enthält.&#10;&#10;Automatisch generierte Beschreibung">
          <a:extLst>
            <a:ext uri="{FF2B5EF4-FFF2-40B4-BE49-F238E27FC236}">
              <a16:creationId xmlns:a16="http://schemas.microsoft.com/office/drawing/2014/main" id="{8291FAE9-3EA7-42D3-BB1E-FA34CD23C4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95" y="211621"/>
          <a:ext cx="1799590" cy="514350"/>
        </a:xfrm>
        <a:prstGeom prst="rect">
          <a:avLst/>
        </a:prstGeom>
      </xdr:spPr>
    </xdr:pic>
    <xdr:clientData/>
  </xdr:oneCellAnchor>
  <xdr:twoCellAnchor editAs="oneCell">
    <xdr:from>
      <xdr:col>20</xdr:col>
      <xdr:colOff>14653</xdr:colOff>
      <xdr:row>1</xdr:row>
      <xdr:rowOff>14654</xdr:rowOff>
    </xdr:from>
    <xdr:to>
      <xdr:col>20</xdr:col>
      <xdr:colOff>579350</xdr:colOff>
      <xdr:row>2</xdr:row>
      <xdr:rowOff>47521</xdr:rowOff>
    </xdr:to>
    <xdr:pic>
      <xdr:nvPicPr>
        <xdr:cNvPr id="2" name="Grafik 1">
          <a:extLst>
            <a:ext uri="{FF2B5EF4-FFF2-40B4-BE49-F238E27FC236}">
              <a16:creationId xmlns:a16="http://schemas.microsoft.com/office/drawing/2014/main" id="{84307DA7-CD2F-4786-8A1B-14BABBF962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100038" y="329712"/>
          <a:ext cx="564697" cy="67763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imon Birrer" id="{8BB51C03-B9E8-4381-B706-126C3A17425B}" userId="Simon Birrer" providerId="None"/>
</personList>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62" dT="2025-09-05T13:28:20.25" personId="{8BB51C03-B9E8-4381-B706-126C3A17425B}" id="{ABDA8450-5BA7-4CE5-92D9-A5ADE76242A9}">
    <text>Hier gibt es 2 x C13: einmal Verzicht und 1x vollständiger Verzicht… (gemäss Version 27.6.25) - stimmt das? Nummerierung?</tex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2.bin"/><Relationship Id="rId16"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omments" Target="../comments2.xml"/><Relationship Id="rId2" Type="http://schemas.openxmlformats.org/officeDocument/2006/relationships/drawing" Target="../drawings/drawing2.xml"/><Relationship Id="rId16" Type="http://schemas.openxmlformats.org/officeDocument/2006/relationships/ctrlProp" Target="../ctrlProps/ctrlProp24.xml"/><Relationship Id="rId1" Type="http://schemas.openxmlformats.org/officeDocument/2006/relationships/printerSettings" Target="../printerSettings/printerSettings3.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5" Type="http://schemas.openxmlformats.org/officeDocument/2006/relationships/ctrlProp" Target="../ctrlProps/ctrlProp2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tabColor theme="8" tint="0.39997558519241921"/>
  </sheetPr>
  <dimension ref="A1:AT356"/>
  <sheetViews>
    <sheetView showOutlineSymbols="0" zoomScale="120" zoomScaleNormal="120" zoomScaleSheetLayoutView="100" workbookViewId="0">
      <pane xSplit="1" ySplit="1" topLeftCell="B2" activePane="bottomRight" state="frozen"/>
      <selection activeCell="B3" sqref="B3"/>
      <selection pane="topRight" activeCell="B3" sqref="B3"/>
      <selection pane="bottomLeft" activeCell="B3" sqref="B3"/>
      <selection pane="bottomRight" activeCell="B13" sqref="B13"/>
    </sheetView>
  </sheetViews>
  <sheetFormatPr baseColWidth="10" defaultColWidth="11.5703125" defaultRowHeight="16.5" outlineLevelRow="1"/>
  <cols>
    <col min="1" max="1" width="4.85546875" style="62" customWidth="1"/>
    <col min="2" max="2" width="9.85546875" style="69" customWidth="1"/>
    <col min="3" max="3" width="12.85546875" style="69" customWidth="1"/>
    <col min="4" max="4" width="9.5703125" style="69" customWidth="1"/>
    <col min="5" max="5" width="8.140625" style="69" customWidth="1"/>
    <col min="6" max="6" width="1.140625" style="69" customWidth="1"/>
    <col min="7" max="7" width="8.5703125" style="69" customWidth="1"/>
    <col min="8" max="8" width="1.140625" style="69" customWidth="1"/>
    <col min="9" max="9" width="8.85546875" style="69" customWidth="1"/>
    <col min="10" max="10" width="1.140625" style="69" customWidth="1"/>
    <col min="11" max="11" width="9.7109375" style="69" customWidth="1"/>
    <col min="12" max="12" width="1.140625" style="69" customWidth="1"/>
    <col min="13" max="13" width="8.85546875" style="71" customWidth="1"/>
    <col min="14" max="14" width="7.7109375" style="128" customWidth="1"/>
    <col min="15" max="20" width="7.85546875" style="71" customWidth="1"/>
    <col min="21" max="21" width="8.28515625" style="72" customWidth="1"/>
    <col min="22" max="23" width="8.28515625" style="50" hidden="1" customWidth="1"/>
    <col min="24" max="24" width="8.28515625" style="51" hidden="1" customWidth="1"/>
    <col min="25" max="25" width="8.28515625" style="52" hidden="1" customWidth="1"/>
    <col min="26" max="26" width="8.28515625" style="51" hidden="1" customWidth="1"/>
    <col min="27" max="27" width="8.28515625" style="52" hidden="1" customWidth="1"/>
    <col min="28" max="28" width="8.28515625" style="51" hidden="1" customWidth="1"/>
    <col min="29" max="29" width="8.28515625" style="52" hidden="1" customWidth="1"/>
    <col min="30" max="30" width="8.28515625" style="51" hidden="1" customWidth="1"/>
    <col min="31" max="31" width="8.28515625" style="52" hidden="1" customWidth="1"/>
    <col min="32" max="32" width="8.28515625" style="51" hidden="1" customWidth="1"/>
    <col min="33" max="33" width="8.28515625" style="52" hidden="1" customWidth="1"/>
    <col min="34" max="34" width="8.28515625" style="51" hidden="1" customWidth="1"/>
    <col min="35" max="35" width="8.28515625" style="52" hidden="1" customWidth="1"/>
    <col min="36" max="36" width="8.42578125" style="73" customWidth="1"/>
    <col min="37" max="37" width="12.7109375" style="74" customWidth="1"/>
    <col min="38" max="38" width="10.28515625" style="74" customWidth="1"/>
    <col min="39" max="40" width="11.5703125" style="74" customWidth="1"/>
    <col min="41" max="42" width="11.5703125" style="69" customWidth="1"/>
    <col min="43" max="43" width="11.7109375" style="69" customWidth="1"/>
    <col min="44" max="16384" width="11.5703125" style="69"/>
  </cols>
  <sheetData>
    <row r="1" spans="1:46" s="56" customFormat="1" ht="24.95" customHeight="1">
      <c r="A1" s="55" t="s">
        <v>64</v>
      </c>
      <c r="C1" s="57"/>
      <c r="J1" s="58"/>
      <c r="K1" s="58" t="s">
        <v>5</v>
      </c>
      <c r="M1" s="59">
        <f>+N232</f>
        <v>0</v>
      </c>
      <c r="U1" s="60">
        <f>+IF(LN&gt;1,LN,0) + SUM(B14:B16) + Spezialkulturen + SUM(B27:B31) + IF(Nutzungsparzellen&gt;1, Nutzungsparzellen,0) + B50 + SUM(G58:K73) + SUM(B101:B109) + SUM(B119:B213) + SUM(G199:G202) + SUM(K199:K202) + IF(B205,1,0)</f>
        <v>0</v>
      </c>
      <c r="V1" s="56" t="s">
        <v>91</v>
      </c>
      <c r="W1" s="56" t="s">
        <v>92</v>
      </c>
      <c r="X1" s="56" t="s">
        <v>79</v>
      </c>
      <c r="Y1" s="56" t="s">
        <v>80</v>
      </c>
      <c r="Z1" s="56" t="s">
        <v>81</v>
      </c>
      <c r="AA1" s="56" t="s">
        <v>82</v>
      </c>
      <c r="AB1" s="56" t="s">
        <v>83</v>
      </c>
      <c r="AC1" s="56" t="s">
        <v>84</v>
      </c>
      <c r="AD1" s="56" t="s">
        <v>85</v>
      </c>
      <c r="AE1" s="56" t="s">
        <v>86</v>
      </c>
      <c r="AF1" s="56" t="s">
        <v>87</v>
      </c>
      <c r="AG1" s="56" t="s">
        <v>88</v>
      </c>
      <c r="AH1" s="56" t="s">
        <v>89</v>
      </c>
      <c r="AI1" s="56" t="s">
        <v>90</v>
      </c>
      <c r="AJ1" s="61"/>
    </row>
    <row r="2" spans="1:46" s="64" customFormat="1" ht="51" customHeight="1">
      <c r="A2" s="62"/>
      <c r="B2" s="63"/>
      <c r="C2" s="63"/>
      <c r="E2" s="65"/>
      <c r="F2" s="65"/>
      <c r="G2" s="65"/>
      <c r="H2" s="65"/>
      <c r="I2" s="65"/>
      <c r="J2" s="65"/>
      <c r="K2" s="65"/>
      <c r="L2" s="65"/>
      <c r="M2" s="65"/>
      <c r="N2" s="65"/>
      <c r="O2" s="65"/>
      <c r="P2" s="65"/>
      <c r="Q2" s="65"/>
      <c r="R2" s="65"/>
      <c r="S2" s="65"/>
      <c r="T2" s="66"/>
      <c r="U2" s="63"/>
      <c r="V2" s="67"/>
      <c r="W2" s="67"/>
      <c r="X2" s="51"/>
      <c r="Y2" s="52"/>
      <c r="Z2" s="51"/>
      <c r="AA2" s="52"/>
      <c r="AB2" s="51"/>
      <c r="AC2" s="52"/>
      <c r="AD2" s="51"/>
      <c r="AE2" s="52"/>
      <c r="AF2" s="51"/>
      <c r="AG2" s="52"/>
      <c r="AH2" s="51"/>
      <c r="AI2" s="52"/>
      <c r="AJ2" s="68"/>
      <c r="AK2" s="161"/>
      <c r="AL2" s="32"/>
      <c r="AM2" s="32"/>
      <c r="AN2" s="32"/>
    </row>
    <row r="3" spans="1:46" ht="6" customHeight="1">
      <c r="D3" s="70"/>
      <c r="E3" s="70"/>
      <c r="F3" s="70"/>
      <c r="G3" s="70"/>
      <c r="H3" s="70"/>
      <c r="L3" s="70"/>
      <c r="N3" s="69"/>
    </row>
    <row r="4" spans="1:46" s="64" customFormat="1" ht="18">
      <c r="A4" s="75" t="s">
        <v>70</v>
      </c>
      <c r="C4" s="63"/>
      <c r="D4" s="63"/>
      <c r="E4" s="63"/>
      <c r="F4" s="63"/>
      <c r="G4" s="63"/>
      <c r="H4" s="63"/>
      <c r="I4" s="63"/>
      <c r="J4" s="63"/>
      <c r="K4" s="63"/>
      <c r="L4" s="63"/>
      <c r="M4" s="63"/>
      <c r="O4" s="65"/>
      <c r="P4" s="65"/>
      <c r="Q4" s="65"/>
      <c r="R4" s="65"/>
      <c r="S4" s="65"/>
      <c r="U4" s="66" t="s">
        <v>478</v>
      </c>
      <c r="V4" s="67"/>
      <c r="W4" s="67"/>
      <c r="X4" s="51"/>
      <c r="Y4" s="52"/>
      <c r="Z4" s="51"/>
      <c r="AA4" s="52"/>
      <c r="AB4" s="51"/>
      <c r="AC4" s="52"/>
      <c r="AD4" s="51"/>
      <c r="AE4" s="52"/>
      <c r="AF4" s="51"/>
      <c r="AG4" s="52"/>
      <c r="AH4" s="51"/>
      <c r="AI4" s="52"/>
      <c r="AJ4" s="68"/>
      <c r="AK4" s="32"/>
      <c r="AL4" s="32"/>
      <c r="AM4" s="32"/>
      <c r="AN4" s="32"/>
    </row>
    <row r="5" spans="1:46" ht="6" customHeight="1">
      <c r="A5" s="513"/>
      <c r="B5" s="513"/>
      <c r="C5" s="513"/>
      <c r="D5" s="513"/>
      <c r="E5" s="513"/>
      <c r="F5" s="513"/>
      <c r="G5" s="513"/>
      <c r="H5" s="513"/>
      <c r="I5" s="513"/>
      <c r="J5" s="513"/>
      <c r="K5" s="513"/>
      <c r="L5" s="513"/>
      <c r="M5" s="513"/>
      <c r="N5" s="513"/>
      <c r="O5" s="513"/>
      <c r="P5" s="513"/>
      <c r="Q5" s="513"/>
      <c r="R5" s="513"/>
      <c r="S5" s="513"/>
      <c r="T5" s="513"/>
      <c r="U5" s="513"/>
    </row>
    <row r="6" spans="1:46" ht="15.6" customHeight="1">
      <c r="A6" s="517" t="s">
        <v>62</v>
      </c>
      <c r="B6" s="517"/>
      <c r="C6" s="517"/>
      <c r="D6" s="517"/>
      <c r="E6" s="517"/>
      <c r="F6" s="517"/>
      <c r="G6" s="517"/>
      <c r="H6" s="517"/>
      <c r="I6" s="517"/>
      <c r="J6" s="517"/>
      <c r="K6" s="517"/>
      <c r="L6" s="517"/>
      <c r="M6" s="517"/>
      <c r="N6" s="517"/>
      <c r="O6" s="517"/>
      <c r="P6" s="517"/>
      <c r="Q6" s="517"/>
      <c r="R6" s="517"/>
      <c r="S6" s="517"/>
      <c r="T6" s="517"/>
      <c r="U6" s="76" t="s">
        <v>160</v>
      </c>
      <c r="V6" s="51"/>
      <c r="W6" s="51"/>
      <c r="AM6" s="77"/>
      <c r="AN6" s="77"/>
      <c r="AO6" s="78"/>
      <c r="AP6" s="78"/>
      <c r="AQ6" s="78"/>
      <c r="AR6" s="78"/>
      <c r="AS6" s="78"/>
      <c r="AT6" s="78"/>
    </row>
    <row r="7" spans="1:46" ht="6" customHeight="1">
      <c r="A7" s="513"/>
      <c r="B7" s="513"/>
      <c r="C7" s="513"/>
      <c r="D7" s="513"/>
      <c r="E7" s="513"/>
      <c r="F7" s="513"/>
      <c r="G7" s="513"/>
      <c r="H7" s="513"/>
      <c r="I7" s="513"/>
      <c r="J7" s="513"/>
      <c r="K7" s="513"/>
      <c r="L7" s="513"/>
      <c r="M7" s="513"/>
      <c r="N7" s="513"/>
      <c r="O7" s="513"/>
      <c r="P7" s="513"/>
      <c r="Q7" s="513"/>
      <c r="R7" s="513"/>
      <c r="S7" s="513"/>
      <c r="T7" s="513"/>
      <c r="U7" s="513"/>
    </row>
    <row r="8" spans="1:46" ht="14.45" customHeight="1">
      <c r="A8" s="519" t="s">
        <v>145</v>
      </c>
      <c r="B8" s="519"/>
      <c r="C8" s="519"/>
      <c r="D8" s="519"/>
      <c r="E8" s="519"/>
      <c r="F8" s="519"/>
      <c r="G8" s="519"/>
      <c r="H8" s="519"/>
      <c r="I8" s="519"/>
      <c r="J8" s="519"/>
      <c r="K8" s="519"/>
      <c r="L8" s="519"/>
      <c r="M8" s="519"/>
      <c r="N8" s="519"/>
      <c r="O8" s="519"/>
      <c r="P8" s="519"/>
      <c r="Q8" s="519"/>
      <c r="R8" s="519"/>
      <c r="S8" s="519"/>
      <c r="T8" s="519"/>
      <c r="U8" s="519"/>
    </row>
    <row r="9" spans="1:46" s="231" customFormat="1" ht="15.95" customHeight="1">
      <c r="A9" s="222"/>
      <c r="D9" s="232"/>
      <c r="E9" s="232"/>
      <c r="F9" s="232"/>
      <c r="G9" s="232"/>
      <c r="H9" s="232"/>
      <c r="M9" s="79" t="str">
        <f>IF(Warnung&gt;0,"ACHTUNG: Daten in mehreren Blättern - führt zu falschen Ergebnissen","")</f>
        <v/>
      </c>
      <c r="N9" s="233"/>
      <c r="O9" s="233"/>
      <c r="P9" s="233"/>
      <c r="Q9" s="233"/>
      <c r="R9" s="233"/>
      <c r="S9" s="233"/>
      <c r="T9" s="233"/>
      <c r="U9" s="226"/>
      <c r="V9" s="234"/>
      <c r="W9" s="234"/>
      <c r="X9" s="229"/>
      <c r="Y9" s="230"/>
      <c r="Z9" s="229"/>
      <c r="AA9" s="230"/>
      <c r="AB9" s="229"/>
      <c r="AC9" s="230"/>
      <c r="AD9" s="229"/>
      <c r="AE9" s="230"/>
      <c r="AF9" s="229"/>
      <c r="AG9" s="230"/>
      <c r="AH9" s="229"/>
      <c r="AI9" s="230"/>
    </row>
    <row r="10" spans="1:46" s="81" customFormat="1" ht="20.100000000000001" customHeight="1">
      <c r="A10" s="80" t="s">
        <v>67</v>
      </c>
      <c r="C10" s="80"/>
      <c r="I10" s="82"/>
      <c r="J10" s="82"/>
      <c r="K10" s="83"/>
      <c r="M10" s="84"/>
      <c r="O10" s="85"/>
      <c r="P10" s="85"/>
      <c r="Q10" s="85"/>
      <c r="R10" s="85"/>
      <c r="S10" s="85"/>
      <c r="T10" s="85"/>
      <c r="U10" s="82"/>
      <c r="V10" s="50"/>
      <c r="W10" s="50"/>
      <c r="X10" s="51"/>
      <c r="Y10" s="52"/>
      <c r="Z10" s="51"/>
      <c r="AA10" s="52"/>
      <c r="AB10" s="51"/>
      <c r="AC10" s="52"/>
      <c r="AD10" s="51"/>
      <c r="AE10" s="52"/>
      <c r="AF10" s="51"/>
      <c r="AG10" s="52"/>
      <c r="AH10" s="51"/>
      <c r="AI10" s="52"/>
      <c r="AJ10" s="86"/>
      <c r="AK10" s="87"/>
      <c r="AL10" s="87"/>
      <c r="AM10" s="87"/>
      <c r="AN10" s="87"/>
    </row>
    <row r="11" spans="1:46" ht="6" customHeight="1">
      <c r="A11" s="513"/>
      <c r="B11" s="513"/>
      <c r="C11" s="513"/>
      <c r="D11" s="513"/>
      <c r="E11" s="513"/>
      <c r="F11" s="513"/>
      <c r="G11" s="513"/>
      <c r="H11" s="513"/>
      <c r="I11" s="513"/>
      <c r="J11" s="513"/>
      <c r="K11" s="513"/>
      <c r="L11" s="513"/>
      <c r="M11" s="513"/>
      <c r="N11" s="513"/>
      <c r="O11" s="513"/>
      <c r="P11" s="513"/>
      <c r="Q11" s="513"/>
      <c r="R11" s="513"/>
      <c r="S11" s="513"/>
      <c r="T11" s="513"/>
      <c r="U11" s="513"/>
    </row>
    <row r="12" spans="1:46" ht="15.95" customHeight="1">
      <c r="A12" s="62">
        <v>1</v>
      </c>
      <c r="B12" s="512" t="s">
        <v>32</v>
      </c>
      <c r="C12" s="512"/>
      <c r="D12" s="512"/>
      <c r="E12" s="512"/>
      <c r="F12" s="512"/>
      <c r="G12" s="512"/>
      <c r="H12" s="512"/>
      <c r="I12" s="512"/>
      <c r="J12" s="512"/>
      <c r="K12" s="512"/>
      <c r="L12" s="512"/>
      <c r="M12" s="512"/>
      <c r="N12" s="512"/>
      <c r="O12" s="69" t="s">
        <v>103</v>
      </c>
      <c r="P12" s="69"/>
      <c r="Q12" s="521"/>
      <c r="R12" s="521"/>
      <c r="S12" s="521"/>
      <c r="T12" s="521"/>
      <c r="U12" s="521"/>
      <c r="V12" s="51"/>
      <c r="W12" s="51"/>
    </row>
    <row r="13" spans="1:46" s="64" customFormat="1" ht="15.95" customHeight="1">
      <c r="A13" s="62">
        <v>1.1000000000000001</v>
      </c>
      <c r="B13" s="88">
        <v>1</v>
      </c>
      <c r="C13" s="511" t="s">
        <v>28</v>
      </c>
      <c r="D13" s="511"/>
      <c r="E13" s="511"/>
      <c r="F13" s="511"/>
      <c r="G13" s="511"/>
      <c r="H13" s="511"/>
      <c r="I13" s="90" t="s">
        <v>8</v>
      </c>
      <c r="V13" s="91" t="s">
        <v>192</v>
      </c>
      <c r="W13" s="91"/>
      <c r="X13" s="91"/>
      <c r="Y13" s="92"/>
      <c r="Z13" s="93">
        <f>+DGL+G69</f>
        <v>0</v>
      </c>
      <c r="AA13" s="92"/>
      <c r="AB13" s="91"/>
      <c r="AC13" s="92"/>
      <c r="AD13" s="91"/>
      <c r="AE13" s="92"/>
      <c r="AF13" s="91"/>
      <c r="AG13" s="92"/>
      <c r="AH13" s="91"/>
      <c r="AI13" s="92"/>
      <c r="AJ13" s="68"/>
      <c r="AK13" s="32"/>
      <c r="AL13" s="32"/>
      <c r="AM13" s="32"/>
      <c r="AN13" s="32"/>
    </row>
    <row r="14" spans="1:46" s="64" customFormat="1" ht="15.95" customHeight="1">
      <c r="A14" s="94" t="s">
        <v>25</v>
      </c>
      <c r="B14" s="88">
        <v>0</v>
      </c>
      <c r="C14" s="511" t="s">
        <v>29</v>
      </c>
      <c r="D14" s="511"/>
      <c r="E14" s="511"/>
      <c r="F14" s="511"/>
      <c r="G14" s="511"/>
      <c r="H14" s="511"/>
      <c r="I14" s="95">
        <f>+DGL/LN</f>
        <v>0</v>
      </c>
      <c r="J14" s="69"/>
      <c r="K14" s="69"/>
      <c r="L14" s="69"/>
      <c r="M14" s="69"/>
      <c r="N14" s="69"/>
      <c r="O14" s="514" t="s">
        <v>110</v>
      </c>
      <c r="P14" s="514"/>
      <c r="Q14" s="521"/>
      <c r="R14" s="521"/>
      <c r="S14" s="521"/>
      <c r="T14" s="521"/>
      <c r="U14" s="521"/>
      <c r="V14" s="91"/>
      <c r="W14" s="91"/>
      <c r="X14" s="91"/>
      <c r="Y14" s="92"/>
      <c r="Z14" s="91"/>
      <c r="AA14" s="92"/>
      <c r="AB14" s="91"/>
      <c r="AC14" s="92"/>
      <c r="AD14" s="91"/>
      <c r="AE14" s="92"/>
      <c r="AF14" s="91"/>
      <c r="AG14" s="92"/>
      <c r="AH14" s="91"/>
      <c r="AI14" s="92"/>
      <c r="AJ14" s="97"/>
      <c r="AK14" s="32"/>
      <c r="AL14" s="32"/>
      <c r="AM14" s="32"/>
      <c r="AN14" s="32"/>
    </row>
    <row r="15" spans="1:46" s="64" customFormat="1" ht="15.95" customHeight="1">
      <c r="A15" s="98" t="s">
        <v>26</v>
      </c>
      <c r="B15" s="88">
        <v>0</v>
      </c>
      <c r="C15" s="511" t="s">
        <v>30</v>
      </c>
      <c r="D15" s="511"/>
      <c r="E15" s="511"/>
      <c r="F15" s="511"/>
      <c r="G15" s="511"/>
      <c r="H15" s="511"/>
      <c r="I15" s="95">
        <f>+offene_Ackerfläche/LN</f>
        <v>0</v>
      </c>
      <c r="V15" s="91"/>
      <c r="W15" s="91"/>
      <c r="X15" s="91"/>
      <c r="Y15" s="92"/>
      <c r="Z15" s="91"/>
      <c r="AA15" s="92"/>
      <c r="AB15" s="91"/>
      <c r="AC15" s="92"/>
      <c r="AD15" s="91"/>
      <c r="AE15" s="92"/>
      <c r="AF15" s="91"/>
      <c r="AG15" s="92"/>
      <c r="AH15" s="91"/>
      <c r="AI15" s="92"/>
      <c r="AJ15" s="68"/>
      <c r="AK15" s="32"/>
      <c r="AL15" s="32"/>
      <c r="AM15" s="32"/>
      <c r="AN15" s="32"/>
    </row>
    <row r="16" spans="1:46" s="108" customFormat="1" ht="15.95" customHeight="1">
      <c r="A16" s="99" t="s">
        <v>27</v>
      </c>
      <c r="B16" s="88">
        <v>0</v>
      </c>
      <c r="C16" s="511" t="s">
        <v>129</v>
      </c>
      <c r="D16" s="511"/>
      <c r="E16" s="511"/>
      <c r="F16" s="511"/>
      <c r="G16" s="511"/>
      <c r="H16" s="511"/>
      <c r="I16" s="100">
        <f>+B16/LN</f>
        <v>0</v>
      </c>
      <c r="J16" s="101"/>
      <c r="K16" s="102">
        <f>MAX(SUM(B14:B16),1)</f>
        <v>1</v>
      </c>
      <c r="L16" s="101"/>
      <c r="M16" s="101"/>
      <c r="N16" s="101"/>
      <c r="O16" s="522" t="s">
        <v>104</v>
      </c>
      <c r="P16" s="522"/>
      <c r="Q16" s="103"/>
      <c r="R16" s="101" t="s">
        <v>105</v>
      </c>
      <c r="S16" s="520"/>
      <c r="T16" s="520"/>
      <c r="U16" s="520"/>
      <c r="V16" s="104"/>
      <c r="W16" s="104"/>
      <c r="X16" s="104"/>
      <c r="Y16" s="105"/>
      <c r="Z16" s="104"/>
      <c r="AA16" s="105"/>
      <c r="AB16" s="104"/>
      <c r="AC16" s="105"/>
      <c r="AD16" s="104"/>
      <c r="AE16" s="105"/>
      <c r="AF16" s="104"/>
      <c r="AG16" s="105"/>
      <c r="AH16" s="104"/>
      <c r="AI16" s="105"/>
      <c r="AJ16" s="106"/>
      <c r="AK16" s="107"/>
      <c r="AL16" s="107"/>
      <c r="AM16" s="107"/>
      <c r="AN16" s="107"/>
    </row>
    <row r="17" spans="1:40" s="64" customFormat="1" ht="15.95" customHeight="1">
      <c r="A17" s="98" t="s">
        <v>31</v>
      </c>
      <c r="B17" s="109" t="s">
        <v>2</v>
      </c>
      <c r="C17" s="110">
        <f>+B16+offene_Ackerfläche</f>
        <v>0</v>
      </c>
      <c r="D17" s="511" t="s">
        <v>380</v>
      </c>
      <c r="E17" s="511"/>
      <c r="F17" s="511"/>
      <c r="G17" s="511"/>
      <c r="H17" s="511"/>
      <c r="I17" s="95">
        <f>+Ackerfläche/LN</f>
        <v>0</v>
      </c>
      <c r="V17" s="91"/>
      <c r="W17" s="91"/>
      <c r="X17" s="91"/>
      <c r="Y17" s="92"/>
      <c r="Z17" s="91"/>
      <c r="AA17" s="92"/>
      <c r="AB17" s="91"/>
      <c r="AC17" s="92"/>
      <c r="AD17" s="91"/>
      <c r="AE17" s="92"/>
      <c r="AF17" s="91"/>
      <c r="AG17" s="92"/>
      <c r="AH17" s="91"/>
      <c r="AI17" s="92"/>
      <c r="AJ17" s="68"/>
      <c r="AK17" s="32"/>
      <c r="AL17" s="32"/>
      <c r="AM17" s="32"/>
      <c r="AN17" s="32"/>
    </row>
    <row r="18" spans="1:40" s="64" customFormat="1" ht="15.95" customHeight="1">
      <c r="A18" s="94" t="s">
        <v>115</v>
      </c>
      <c r="B18" s="111">
        <f>+LN-SUM(B14:B16)</f>
        <v>1</v>
      </c>
      <c r="C18" s="511" t="s">
        <v>317</v>
      </c>
      <c r="D18" s="511"/>
      <c r="E18" s="511"/>
      <c r="F18" s="511"/>
      <c r="G18" s="511"/>
      <c r="H18" s="511"/>
      <c r="I18" s="89"/>
      <c r="J18" s="112">
        <f>DGL+G69</f>
        <v>0</v>
      </c>
      <c r="K18" s="113"/>
      <c r="L18" s="113"/>
      <c r="M18" s="113"/>
      <c r="N18" s="113"/>
      <c r="O18" s="113"/>
      <c r="P18" s="113"/>
      <c r="Q18" s="113"/>
      <c r="R18" s="113"/>
      <c r="S18" s="113"/>
      <c r="T18" s="113"/>
      <c r="U18" s="113"/>
      <c r="V18" s="91"/>
      <c r="W18" s="91"/>
      <c r="X18" s="91"/>
      <c r="Y18" s="92"/>
      <c r="Z18" s="91"/>
      <c r="AA18" s="92"/>
      <c r="AB18" s="91"/>
      <c r="AC18" s="92"/>
      <c r="AD18" s="91"/>
      <c r="AE18" s="92"/>
      <c r="AF18" s="91"/>
      <c r="AG18" s="92"/>
      <c r="AH18" s="91"/>
      <c r="AI18" s="92"/>
      <c r="AJ18" s="68"/>
      <c r="AK18" s="32"/>
      <c r="AL18" s="32"/>
      <c r="AM18" s="32"/>
      <c r="AN18" s="32"/>
    </row>
    <row r="19" spans="1:40" ht="6" customHeight="1">
      <c r="A19" s="518"/>
      <c r="B19" s="518"/>
      <c r="C19" s="518"/>
      <c r="D19" s="518"/>
      <c r="E19" s="518"/>
      <c r="F19" s="518"/>
      <c r="G19" s="518"/>
      <c r="H19" s="518"/>
      <c r="I19" s="518"/>
      <c r="J19" s="518"/>
      <c r="K19" s="518"/>
      <c r="L19" s="518"/>
      <c r="M19" s="518"/>
      <c r="N19" s="518"/>
      <c r="O19" s="518"/>
      <c r="P19" s="518"/>
      <c r="Q19" s="518"/>
      <c r="R19" s="518"/>
      <c r="S19" s="518"/>
      <c r="T19" s="518"/>
      <c r="U19" s="518"/>
    </row>
    <row r="20" spans="1:40" ht="15.95" customHeight="1">
      <c r="A20" s="114"/>
      <c r="B20" s="512" t="s">
        <v>389</v>
      </c>
      <c r="C20" s="512"/>
      <c r="D20" s="512"/>
      <c r="E20" s="512"/>
      <c r="F20" s="512"/>
      <c r="G20" s="512"/>
      <c r="H20" s="512"/>
      <c r="I20" s="512"/>
      <c r="J20" s="512"/>
      <c r="K20" s="512"/>
      <c r="L20" s="512"/>
      <c r="M20" s="512"/>
      <c r="N20" s="512"/>
      <c r="O20" s="114"/>
      <c r="P20" s="114"/>
      <c r="Q20" s="114"/>
      <c r="R20" s="114"/>
      <c r="S20" s="114"/>
      <c r="T20" s="114"/>
      <c r="U20" s="114"/>
    </row>
    <row r="21" spans="1:40" ht="15.95" customHeight="1">
      <c r="A21" s="114"/>
      <c r="B21" s="110">
        <f>+LN</f>
        <v>1</v>
      </c>
      <c r="C21" s="511" t="s">
        <v>28</v>
      </c>
      <c r="D21" s="511"/>
      <c r="E21" s="511"/>
      <c r="F21" s="511"/>
      <c r="G21" s="511"/>
      <c r="H21" s="511"/>
      <c r="I21" s="114"/>
      <c r="J21" s="114"/>
      <c r="K21" s="114"/>
      <c r="L21" s="114"/>
      <c r="M21" s="114"/>
      <c r="N21" s="114"/>
      <c r="O21" s="114"/>
      <c r="P21" s="114"/>
      <c r="Q21" s="114"/>
      <c r="R21" s="114"/>
      <c r="S21" s="114"/>
      <c r="T21" s="114"/>
      <c r="U21" s="114"/>
    </row>
    <row r="22" spans="1:40" s="64" customFormat="1" ht="15.95" customHeight="1">
      <c r="A22" s="98" t="s">
        <v>311</v>
      </c>
      <c r="B22" s="88">
        <v>0</v>
      </c>
      <c r="C22" s="511" t="s">
        <v>318</v>
      </c>
      <c r="D22" s="511"/>
      <c r="E22" s="511"/>
      <c r="F22" s="511"/>
      <c r="G22" s="511"/>
      <c r="H22" s="511"/>
      <c r="I22" s="115"/>
      <c r="J22" s="69"/>
      <c r="K22" s="110"/>
      <c r="L22" s="69"/>
      <c r="M22" s="69"/>
      <c r="N22" s="69"/>
      <c r="O22" s="96"/>
      <c r="P22" s="96"/>
      <c r="Q22" s="116"/>
      <c r="R22" s="69"/>
      <c r="S22" s="117"/>
      <c r="T22" s="117"/>
      <c r="U22" s="117"/>
      <c r="V22" s="50"/>
      <c r="W22" s="50"/>
      <c r="X22" s="51"/>
      <c r="Y22" s="52"/>
      <c r="Z22" s="51"/>
      <c r="AA22" s="52"/>
      <c r="AB22" s="51"/>
      <c r="AC22" s="52"/>
      <c r="AD22" s="51"/>
      <c r="AE22" s="52"/>
      <c r="AF22" s="51"/>
      <c r="AG22" s="52"/>
      <c r="AH22" s="51"/>
      <c r="AI22" s="52"/>
      <c r="AJ22" s="68"/>
      <c r="AK22" s="32"/>
      <c r="AL22" s="32"/>
      <c r="AM22" s="32"/>
      <c r="AN22" s="32"/>
    </row>
    <row r="23" spans="1:40" ht="15.95" customHeight="1">
      <c r="A23" s="415" t="s">
        <v>312</v>
      </c>
      <c r="B23" s="110">
        <f>+LN-Spezialkulturen</f>
        <v>1</v>
      </c>
      <c r="C23" s="511" t="s">
        <v>354</v>
      </c>
      <c r="D23" s="511"/>
      <c r="E23" s="511"/>
      <c r="F23" s="511"/>
      <c r="G23" s="511"/>
      <c r="H23" s="511"/>
      <c r="I23" s="114"/>
      <c r="J23" s="114"/>
      <c r="K23" s="114"/>
      <c r="L23" s="114"/>
      <c r="M23" s="114"/>
      <c r="N23" s="114"/>
      <c r="O23" s="114"/>
      <c r="P23" s="114"/>
      <c r="Q23" s="114"/>
      <c r="R23" s="114"/>
      <c r="S23" s="114"/>
      <c r="T23" s="114"/>
      <c r="U23" s="114"/>
    </row>
    <row r="24" spans="1:40" ht="6" customHeight="1">
      <c r="A24" s="114"/>
      <c r="B24" s="114"/>
      <c r="C24" s="114"/>
      <c r="D24" s="114"/>
      <c r="E24" s="114"/>
      <c r="F24" s="114"/>
      <c r="G24" s="114"/>
      <c r="H24" s="114"/>
      <c r="I24" s="114"/>
      <c r="J24" s="114"/>
      <c r="K24" s="114"/>
      <c r="L24" s="114"/>
      <c r="M24" s="114"/>
      <c r="N24" s="114"/>
      <c r="O24" s="114"/>
      <c r="P24" s="114"/>
      <c r="Q24" s="114"/>
      <c r="R24" s="114"/>
      <c r="S24" s="114"/>
      <c r="T24" s="114"/>
      <c r="U24" s="114"/>
    </row>
    <row r="25" spans="1:40" ht="15.95" customHeight="1">
      <c r="A25" s="114"/>
      <c r="B25" s="512" t="s">
        <v>390</v>
      </c>
      <c r="C25" s="512"/>
      <c r="D25" s="512"/>
      <c r="E25" s="512"/>
      <c r="F25" s="512"/>
      <c r="G25" s="512"/>
      <c r="H25" s="512"/>
      <c r="I25" s="512"/>
      <c r="J25" s="512"/>
      <c r="K25" s="512"/>
      <c r="L25" s="512"/>
      <c r="M25" s="512"/>
      <c r="N25" s="512"/>
      <c r="O25" s="114"/>
      <c r="P25" s="114"/>
      <c r="Q25" s="114"/>
      <c r="R25" s="114"/>
      <c r="S25" s="114"/>
      <c r="T25" s="114"/>
      <c r="U25" s="114"/>
    </row>
    <row r="26" spans="1:40" ht="15.95" customHeight="1">
      <c r="A26" s="98" t="s">
        <v>53</v>
      </c>
      <c r="B26" s="110">
        <f>LN-B27-B28</f>
        <v>1</v>
      </c>
      <c r="C26" s="511" t="s">
        <v>54</v>
      </c>
      <c r="D26" s="511"/>
      <c r="E26" s="511"/>
      <c r="F26" s="511"/>
      <c r="G26" s="511"/>
      <c r="H26" s="511"/>
      <c r="I26" s="95">
        <f>+B26/LN</f>
        <v>1</v>
      </c>
      <c r="J26" s="118" t="str">
        <f>+IF(B26&lt;0,"LN Tal muss &gt;= 0 sein!"," ")</f>
        <v xml:space="preserve"> </v>
      </c>
      <c r="K26" s="118"/>
      <c r="L26" s="118"/>
      <c r="M26" s="118"/>
      <c r="N26" s="118"/>
      <c r="O26" s="64" t="s">
        <v>362</v>
      </c>
      <c r="P26" s="69"/>
      <c r="Q26" s="516"/>
      <c r="R26" s="516"/>
      <c r="S26" s="64" t="s">
        <v>363</v>
      </c>
      <c r="T26" s="69"/>
      <c r="U26" s="119"/>
    </row>
    <row r="27" spans="1:40" ht="15.95" customHeight="1">
      <c r="A27" s="94" t="s">
        <v>55</v>
      </c>
      <c r="B27" s="88">
        <v>0</v>
      </c>
      <c r="C27" s="511" t="s">
        <v>113</v>
      </c>
      <c r="D27" s="511"/>
      <c r="E27" s="511"/>
      <c r="F27" s="511"/>
      <c r="G27" s="511"/>
      <c r="H27" s="511"/>
      <c r="I27" s="95">
        <f>+B27/LN</f>
        <v>0</v>
      </c>
      <c r="K27" s="118"/>
      <c r="L27" s="118"/>
      <c r="M27" s="118"/>
      <c r="N27" s="118"/>
      <c r="O27" s="64"/>
      <c r="P27" s="64"/>
      <c r="Q27" s="64"/>
      <c r="R27" s="64"/>
      <c r="S27" s="64"/>
      <c r="T27" s="64"/>
      <c r="U27" s="64"/>
    </row>
    <row r="28" spans="1:40" ht="15.95" customHeight="1">
      <c r="A28" s="94" t="s">
        <v>56</v>
      </c>
      <c r="B28" s="88">
        <v>0</v>
      </c>
      <c r="C28" s="511" t="s">
        <v>114</v>
      </c>
      <c r="D28" s="511"/>
      <c r="E28" s="511"/>
      <c r="F28" s="511"/>
      <c r="G28" s="511"/>
      <c r="H28" s="511"/>
      <c r="I28" s="95">
        <f>+B28/LN</f>
        <v>0</v>
      </c>
      <c r="N28" s="74"/>
      <c r="O28" s="64" t="s">
        <v>106</v>
      </c>
      <c r="Q28" s="515"/>
      <c r="R28" s="515"/>
      <c r="S28" s="515"/>
      <c r="T28" s="515"/>
      <c r="U28" s="515"/>
    </row>
    <row r="29" spans="1:40" ht="6" customHeight="1">
      <c r="A29" s="120"/>
      <c r="B29" s="118" t="str">
        <f>+IF(B28+B27&gt;B26,"Bergbetrieb: Füllen Sie bitte den Fragebogen 'Berg' aus"," ")</f>
        <v xml:space="preserve"> </v>
      </c>
      <c r="C29" s="120"/>
      <c r="D29" s="120"/>
      <c r="E29" s="120"/>
      <c r="F29" s="120"/>
      <c r="G29" s="120"/>
      <c r="H29" s="120"/>
      <c r="I29" s="120"/>
      <c r="J29" s="120"/>
      <c r="K29" s="120"/>
      <c r="L29" s="120"/>
      <c r="M29" s="120"/>
      <c r="N29" s="120"/>
      <c r="O29" s="120"/>
      <c r="P29" s="120"/>
      <c r="Q29" s="120"/>
      <c r="R29" s="120"/>
      <c r="S29" s="120"/>
      <c r="T29" s="120"/>
      <c r="U29" s="120"/>
    </row>
    <row r="30" spans="1:40" ht="15.95" customHeight="1">
      <c r="B30" s="121" t="s">
        <v>33</v>
      </c>
      <c r="C30" s="121"/>
      <c r="D30" s="121"/>
      <c r="E30" s="121"/>
      <c r="F30" s="121"/>
      <c r="G30" s="121"/>
      <c r="H30" s="121"/>
      <c r="I30" s="121"/>
      <c r="J30" s="121"/>
      <c r="K30" s="121"/>
      <c r="L30" s="121"/>
      <c r="M30" s="121"/>
      <c r="N30" s="121"/>
      <c r="O30" s="64" t="s">
        <v>109</v>
      </c>
      <c r="Q30" s="515"/>
      <c r="R30" s="515"/>
      <c r="S30" s="515"/>
      <c r="T30" s="515"/>
      <c r="U30" s="515"/>
      <c r="AB30" s="122"/>
    </row>
    <row r="31" spans="1:40" s="64" customFormat="1" ht="15.95" customHeight="1">
      <c r="A31" s="62">
        <v>2</v>
      </c>
      <c r="B31" s="123">
        <v>0</v>
      </c>
      <c r="C31" s="511" t="s">
        <v>361</v>
      </c>
      <c r="D31" s="511"/>
      <c r="E31" s="124">
        <f>+B31/LN</f>
        <v>0</v>
      </c>
      <c r="F31" s="511" t="s">
        <v>152</v>
      </c>
      <c r="G31" s="511"/>
      <c r="H31" s="511"/>
      <c r="I31" s="511"/>
      <c r="J31" s="511"/>
      <c r="K31" s="511"/>
      <c r="L31" s="511"/>
      <c r="M31" s="511"/>
      <c r="N31" s="511"/>
      <c r="O31" s="511"/>
      <c r="P31" s="511"/>
      <c r="Q31" s="511"/>
      <c r="R31" s="511"/>
      <c r="S31" s="511"/>
      <c r="T31" s="511"/>
      <c r="U31" s="511"/>
      <c r="V31" s="91"/>
      <c r="W31" s="91"/>
      <c r="X31" s="91"/>
      <c r="Y31" s="92"/>
      <c r="Z31" s="91"/>
      <c r="AA31" s="92"/>
      <c r="AB31" s="91"/>
      <c r="AC31" s="92"/>
      <c r="AD31" s="91"/>
      <c r="AE31" s="92"/>
      <c r="AF31" s="91"/>
      <c r="AG31" s="92"/>
      <c r="AH31" s="91"/>
      <c r="AI31" s="92"/>
      <c r="AJ31" s="68"/>
      <c r="AK31" s="32"/>
      <c r="AL31" s="32"/>
      <c r="AM31" s="32"/>
      <c r="AN31" s="32"/>
    </row>
    <row r="32" spans="1:40" ht="6" customHeight="1">
      <c r="A32" s="513"/>
      <c r="B32" s="513"/>
      <c r="C32" s="513"/>
      <c r="D32" s="513"/>
      <c r="E32" s="513"/>
      <c r="F32" s="513"/>
      <c r="G32" s="513"/>
      <c r="H32" s="513"/>
      <c r="I32" s="513"/>
      <c r="J32" s="513"/>
      <c r="K32" s="513"/>
      <c r="L32" s="513"/>
      <c r="M32" s="513"/>
      <c r="N32" s="513"/>
      <c r="O32" s="513"/>
      <c r="P32" s="513"/>
      <c r="Q32" s="513"/>
      <c r="R32" s="513"/>
      <c r="S32" s="513"/>
      <c r="T32" s="513"/>
      <c r="U32" s="513"/>
    </row>
    <row r="33" spans="1:40" s="46" customFormat="1" ht="20.100000000000001" customHeight="1">
      <c r="A33" s="45" t="s">
        <v>68</v>
      </c>
      <c r="C33" s="45"/>
      <c r="K33" s="47"/>
      <c r="L33" s="46" t="s">
        <v>447</v>
      </c>
      <c r="M33" s="48" t="s">
        <v>9</v>
      </c>
      <c r="O33" s="49" t="s">
        <v>10</v>
      </c>
      <c r="P33" s="49" t="s">
        <v>11</v>
      </c>
      <c r="Q33" s="49" t="s">
        <v>12</v>
      </c>
      <c r="R33" s="49"/>
      <c r="S33" s="49"/>
      <c r="T33" s="49"/>
      <c r="U33" s="49" t="s">
        <v>15</v>
      </c>
      <c r="V33" s="50"/>
      <c r="W33" s="50"/>
      <c r="X33" s="51"/>
      <c r="Y33" s="52"/>
      <c r="Z33" s="51"/>
      <c r="AA33" s="52"/>
      <c r="AB33" s="51"/>
      <c r="AC33" s="52"/>
      <c r="AD33" s="51"/>
      <c r="AE33" s="52"/>
      <c r="AF33" s="51"/>
      <c r="AG33" s="52"/>
      <c r="AH33" s="51"/>
      <c r="AI33" s="52"/>
      <c r="AJ33" s="53"/>
      <c r="AK33" s="54"/>
      <c r="AL33" s="54"/>
      <c r="AM33" s="54"/>
      <c r="AN33" s="54"/>
    </row>
    <row r="34" spans="1:40" ht="6" customHeight="1">
      <c r="D34" s="70"/>
      <c r="E34" s="70"/>
      <c r="F34" s="70"/>
      <c r="G34" s="70"/>
      <c r="H34" s="70"/>
      <c r="L34" s="70"/>
      <c r="N34" s="69"/>
      <c r="O34" s="125"/>
      <c r="P34" s="125"/>
      <c r="Q34" s="125"/>
      <c r="R34" s="125"/>
      <c r="S34" s="125"/>
      <c r="T34" s="125"/>
      <c r="U34" s="126"/>
    </row>
    <row r="35" spans="1:40" hidden="1">
      <c r="B35" s="121" t="s">
        <v>33</v>
      </c>
      <c r="M35" s="127"/>
      <c r="O35" s="125"/>
      <c r="P35" s="125"/>
      <c r="Q35" s="125"/>
      <c r="R35" s="125"/>
      <c r="S35" s="125"/>
      <c r="T35" s="125"/>
      <c r="U35" s="129"/>
      <c r="AB35" s="122"/>
    </row>
    <row r="36" spans="1:40" s="64" customFormat="1" hidden="1">
      <c r="A36" s="62">
        <v>2</v>
      </c>
      <c r="B36" s="130">
        <v>0</v>
      </c>
      <c r="C36" s="64" t="s">
        <v>22</v>
      </c>
      <c r="O36" s="131"/>
      <c r="P36" s="131"/>
      <c r="Q36" s="131"/>
      <c r="R36" s="131"/>
      <c r="S36" s="131"/>
      <c r="T36" s="131"/>
      <c r="U36" s="129"/>
      <c r="V36" s="91"/>
      <c r="W36" s="91"/>
      <c r="X36" s="91"/>
      <c r="Y36" s="92"/>
      <c r="Z36" s="91"/>
      <c r="AA36" s="92"/>
      <c r="AB36" s="91"/>
      <c r="AC36" s="92"/>
      <c r="AD36" s="91"/>
      <c r="AE36" s="92"/>
      <c r="AF36" s="91"/>
      <c r="AG36" s="92"/>
      <c r="AH36" s="91"/>
      <c r="AI36" s="92"/>
      <c r="AJ36" s="68"/>
      <c r="AK36" s="32"/>
      <c r="AL36" s="32"/>
      <c r="AM36" s="32"/>
      <c r="AN36" s="32"/>
    </row>
    <row r="37" spans="1:40" s="64" customFormat="1" hidden="1">
      <c r="A37" s="62"/>
      <c r="B37" s="69"/>
      <c r="C37" s="132" t="s">
        <v>2</v>
      </c>
      <c r="D37" s="124">
        <f>+B36/B13</f>
        <v>0</v>
      </c>
      <c r="E37" s="64" t="s">
        <v>0</v>
      </c>
      <c r="M37" s="127">
        <f>+IF(D37&lt;AD37,AE37,IF(D37&lt;AB37,AC37,IF(D37&lt;=Z37,AA37,IF(D37&lt;=X37,Y37,))))</f>
        <v>3</v>
      </c>
      <c r="O37" s="125" t="str">
        <f>+"&gt;"&amp;Z37&amp;"-"&amp;X37</f>
        <v>&gt;1.3-1.6</v>
      </c>
      <c r="P37" s="133" t="str">
        <f>+AB37&amp;"-"&amp;Z37</f>
        <v>1-1.3</v>
      </c>
      <c r="Q37" s="125" t="str">
        <f>+AB37&amp;"-"&amp;AD37</f>
        <v>1-</v>
      </c>
      <c r="R37" s="125" t="str">
        <f>+"&lt;"&amp;AD37</f>
        <v>&lt;</v>
      </c>
      <c r="S37" s="134"/>
      <c r="T37" s="134"/>
      <c r="U37" s="129" t="s">
        <v>6</v>
      </c>
      <c r="V37" s="135"/>
      <c r="W37" s="136"/>
      <c r="X37" s="91">
        <v>1.6</v>
      </c>
      <c r="Y37" s="92">
        <v>1</v>
      </c>
      <c r="Z37" s="91">
        <v>1.3</v>
      </c>
      <c r="AA37" s="92">
        <v>2</v>
      </c>
      <c r="AB37" s="137">
        <v>1</v>
      </c>
      <c r="AC37" s="92">
        <v>3</v>
      </c>
      <c r="AD37" s="91"/>
      <c r="AE37" s="92"/>
      <c r="AF37" s="91"/>
      <c r="AG37" s="92"/>
      <c r="AH37" s="91"/>
      <c r="AI37" s="92"/>
      <c r="AJ37" s="68"/>
      <c r="AK37" s="32"/>
      <c r="AL37" s="32"/>
      <c r="AM37" s="32"/>
      <c r="AN37" s="32"/>
    </row>
    <row r="38" spans="1:40" hidden="1">
      <c r="D38" s="70"/>
      <c r="E38" s="70"/>
      <c r="F38" s="70"/>
      <c r="G38" s="70"/>
      <c r="H38" s="70"/>
      <c r="L38" s="70"/>
      <c r="N38" s="69"/>
      <c r="O38" s="125"/>
      <c r="P38" s="125"/>
      <c r="Q38" s="125"/>
      <c r="R38" s="125"/>
      <c r="S38" s="125"/>
      <c r="T38" s="125"/>
      <c r="U38" s="126"/>
    </row>
    <row r="39" spans="1:40" ht="15.95" customHeight="1">
      <c r="B39" s="121" t="s">
        <v>146</v>
      </c>
      <c r="M39" s="127"/>
      <c r="O39" s="138"/>
      <c r="P39" s="125"/>
      <c r="Q39" s="125"/>
      <c r="R39" s="125"/>
      <c r="S39" s="125"/>
      <c r="T39" s="125"/>
      <c r="U39" s="129"/>
      <c r="AB39" s="122"/>
    </row>
    <row r="40" spans="1:40" ht="15.95" customHeight="1">
      <c r="A40" s="62">
        <v>3</v>
      </c>
      <c r="B40" s="139">
        <v>1</v>
      </c>
      <c r="C40" s="511" t="s">
        <v>147</v>
      </c>
      <c r="D40" s="511"/>
      <c r="E40" s="511"/>
      <c r="F40" s="511"/>
      <c r="G40" s="511"/>
      <c r="H40" s="511"/>
      <c r="M40" s="127"/>
      <c r="O40" s="125"/>
      <c r="P40" s="125"/>
      <c r="Q40" s="125"/>
      <c r="R40" s="125"/>
      <c r="S40" s="125"/>
      <c r="T40" s="125"/>
      <c r="U40" s="129"/>
      <c r="AB40" s="122"/>
    </row>
    <row r="41" spans="1:40" s="64" customFormat="1" ht="15.75" customHeight="1">
      <c r="A41" s="62"/>
      <c r="B41" s="132" t="s">
        <v>2</v>
      </c>
      <c r="C41" s="124">
        <f>(LN-öAF_ohne_Bäume)/(Nutzungsparzellen)</f>
        <v>1</v>
      </c>
      <c r="D41" s="64" t="s">
        <v>1</v>
      </c>
      <c r="M41" s="127">
        <f>+IF(Nutzungsparzellen=1,0,IF(C41&lt;AB41,AC41,IF(C41&lt;Z41,AA41,IF(C41&lt;=X41,Y41,))))</f>
        <v>0</v>
      </c>
      <c r="O41" s="125" t="str">
        <f>Z41&amp;"–"&amp;X41</f>
        <v>1.3–1.6</v>
      </c>
      <c r="P41" s="133" t="str">
        <f>+AB41&amp;"–&lt;"&amp;Z41</f>
        <v>1–&lt;1.3</v>
      </c>
      <c r="Q41" s="125" t="str">
        <f>+"&lt;"&amp;AB41</f>
        <v>&lt;1</v>
      </c>
      <c r="R41" s="133"/>
      <c r="S41" s="140"/>
      <c r="T41" s="140"/>
      <c r="U41" s="129" t="s">
        <v>101</v>
      </c>
      <c r="V41" s="135">
        <v>2</v>
      </c>
      <c r="W41" s="136"/>
      <c r="X41" s="91">
        <v>1.6</v>
      </c>
      <c r="Y41" s="92">
        <v>1</v>
      </c>
      <c r="Z41" s="91">
        <v>1.3</v>
      </c>
      <c r="AA41" s="92">
        <v>2</v>
      </c>
      <c r="AB41" s="137">
        <v>1</v>
      </c>
      <c r="AC41" s="92">
        <v>3</v>
      </c>
      <c r="AD41" s="91"/>
      <c r="AE41" s="92"/>
      <c r="AF41" s="91"/>
      <c r="AG41" s="92"/>
      <c r="AH41" s="91"/>
      <c r="AI41" s="92"/>
      <c r="AJ41" s="68"/>
      <c r="AK41" s="32"/>
      <c r="AL41" s="32"/>
      <c r="AM41" s="32"/>
      <c r="AN41" s="32"/>
    </row>
    <row r="42" spans="1:40" s="64" customFormat="1" ht="1.5" hidden="1" customHeight="1">
      <c r="A42" s="62"/>
      <c r="B42" s="132"/>
      <c r="C42" s="124"/>
      <c r="M42" s="127"/>
      <c r="O42" s="125"/>
      <c r="P42" s="133"/>
      <c r="Q42" s="125"/>
      <c r="R42" s="140"/>
      <c r="S42" s="140"/>
      <c r="T42" s="140"/>
      <c r="U42" s="129"/>
      <c r="V42" s="135"/>
      <c r="W42" s="136"/>
      <c r="X42" s="91"/>
      <c r="Y42" s="92"/>
      <c r="Z42" s="91"/>
      <c r="AA42" s="92"/>
      <c r="AB42" s="137"/>
      <c r="AC42" s="92"/>
      <c r="AD42" s="91"/>
      <c r="AE42" s="92"/>
      <c r="AF42" s="91"/>
      <c r="AG42" s="92"/>
      <c r="AH42" s="91"/>
      <c r="AI42" s="92"/>
      <c r="AJ42" s="68"/>
      <c r="AK42" s="32"/>
      <c r="AL42" s="32"/>
      <c r="AM42" s="32"/>
      <c r="AN42" s="32"/>
    </row>
    <row r="43" spans="1:40" s="64" customFormat="1" ht="1.5" hidden="1" customHeight="1">
      <c r="A43" s="62"/>
      <c r="B43" s="132"/>
      <c r="C43" s="124"/>
      <c r="M43" s="127"/>
      <c r="O43" s="125"/>
      <c r="P43" s="133"/>
      <c r="Q43" s="125"/>
      <c r="R43" s="140"/>
      <c r="S43" s="140"/>
      <c r="T43" s="140"/>
      <c r="U43" s="129"/>
      <c r="V43" s="135"/>
      <c r="W43" s="136"/>
      <c r="X43" s="91"/>
      <c r="Y43" s="92"/>
      <c r="Z43" s="91"/>
      <c r="AA43" s="92"/>
      <c r="AB43" s="137"/>
      <c r="AC43" s="92"/>
      <c r="AD43" s="91"/>
      <c r="AE43" s="92"/>
      <c r="AF43" s="91"/>
      <c r="AG43" s="92"/>
      <c r="AH43" s="91"/>
      <c r="AI43" s="92"/>
      <c r="AJ43" s="68"/>
      <c r="AK43" s="32"/>
      <c r="AL43" s="32"/>
      <c r="AM43" s="32"/>
      <c r="AN43" s="32"/>
    </row>
    <row r="44" spans="1:40" ht="6" customHeight="1">
      <c r="D44" s="70"/>
      <c r="E44" s="70"/>
      <c r="F44" s="70"/>
      <c r="G44" s="70"/>
      <c r="H44" s="70"/>
      <c r="L44" s="70"/>
      <c r="N44" s="69"/>
      <c r="O44" s="125"/>
      <c r="P44" s="125"/>
      <c r="Q44" s="125"/>
      <c r="R44" s="125"/>
      <c r="S44" s="125"/>
      <c r="T44" s="125"/>
      <c r="U44" s="126"/>
    </row>
    <row r="45" spans="1:40" ht="15.95" customHeight="1">
      <c r="B45" s="512" t="s">
        <v>7</v>
      </c>
      <c r="C45" s="512"/>
      <c r="D45" s="512"/>
      <c r="E45" s="512"/>
      <c r="F45" s="512"/>
      <c r="G45" s="512"/>
      <c r="H45" s="512"/>
      <c r="O45" s="125"/>
      <c r="P45" s="125"/>
      <c r="Q45" s="125"/>
      <c r="R45" s="125"/>
      <c r="S45" s="125"/>
      <c r="T45" s="125"/>
      <c r="U45" s="129"/>
    </row>
    <row r="46" spans="1:40" ht="15.95" customHeight="1">
      <c r="B46" s="511" t="s">
        <v>99</v>
      </c>
      <c r="C46" s="511"/>
      <c r="D46" s="511"/>
      <c r="E46" s="511"/>
      <c r="F46" s="511"/>
      <c r="G46" s="511"/>
      <c r="H46" s="511"/>
      <c r="I46" s="511"/>
      <c r="J46" s="511"/>
      <c r="K46" s="511"/>
      <c r="O46" s="125"/>
      <c r="P46" s="125"/>
      <c r="Q46" s="125"/>
      <c r="R46" s="125"/>
      <c r="S46" s="125"/>
      <c r="T46" s="125"/>
      <c r="U46" s="129"/>
    </row>
    <row r="47" spans="1:40" ht="15.95" customHeight="1">
      <c r="B47" s="141" t="b">
        <v>0</v>
      </c>
      <c r="D47" s="64"/>
      <c r="E47" s="141" t="b">
        <v>0</v>
      </c>
      <c r="H47" s="64"/>
      <c r="I47" s="141" t="b">
        <v>0</v>
      </c>
      <c r="L47" s="71"/>
      <c r="O47" s="125"/>
      <c r="P47" s="125"/>
      <c r="Q47" s="125"/>
      <c r="R47" s="125"/>
      <c r="S47" s="125"/>
      <c r="T47" s="125"/>
      <c r="U47" s="129"/>
    </row>
    <row r="48" spans="1:40" ht="15.95" customHeight="1">
      <c r="B48" s="142" t="b">
        <v>0</v>
      </c>
      <c r="E48" s="141" t="b">
        <v>0</v>
      </c>
      <c r="I48" s="141" t="b">
        <v>0</v>
      </c>
      <c r="L48" s="71"/>
      <c r="O48" s="125"/>
      <c r="P48" s="125"/>
      <c r="Q48" s="125"/>
      <c r="R48" s="125"/>
      <c r="S48" s="125"/>
      <c r="T48" s="125"/>
      <c r="U48" s="129"/>
    </row>
    <row r="49" spans="1:40" ht="15.95" customHeight="1">
      <c r="B49" s="142" t="b">
        <v>0</v>
      </c>
      <c r="E49" s="141" t="b">
        <v>0</v>
      </c>
      <c r="F49" s="143"/>
      <c r="I49" s="141" t="b">
        <v>0</v>
      </c>
      <c r="J49" s="143"/>
      <c r="O49" s="125"/>
      <c r="P49" s="125"/>
      <c r="Q49" s="125"/>
      <c r="R49" s="125"/>
      <c r="S49" s="125"/>
      <c r="T49" s="125"/>
      <c r="U49" s="129"/>
    </row>
    <row r="50" spans="1:40" ht="15.95" customHeight="1">
      <c r="A50" s="62">
        <v>4</v>
      </c>
      <c r="B50" s="69">
        <f>COUNTIF(A47:J49,TRUE)</f>
        <v>0</v>
      </c>
      <c r="C50" s="64" t="s">
        <v>7</v>
      </c>
      <c r="M50" s="127">
        <f>IF(B50&gt;AB50,AC50,IF(B50&gt;Z50,AA50,IF(B50&gt;=X50,Y50,0)))</f>
        <v>0</v>
      </c>
      <c r="O50" s="125" t="str">
        <f>+X50&amp;"–"&amp;Z50</f>
        <v>1–2</v>
      </c>
      <c r="P50" s="133" t="str">
        <f>+Z50+1&amp;"–"&amp;AB50</f>
        <v>3–5</v>
      </c>
      <c r="Q50" s="144" t="str">
        <f>+"&gt;="&amp;AB50+1</f>
        <v>&gt;=6</v>
      </c>
      <c r="R50" s="125"/>
      <c r="S50" s="125"/>
      <c r="T50" s="125"/>
      <c r="U50" s="129" t="s">
        <v>102</v>
      </c>
      <c r="V50" s="135">
        <v>2</v>
      </c>
      <c r="W50" s="136"/>
      <c r="X50" s="51">
        <v>1</v>
      </c>
      <c r="Y50" s="52">
        <v>1</v>
      </c>
      <c r="Z50" s="51">
        <v>2</v>
      </c>
      <c r="AA50" s="52">
        <v>2</v>
      </c>
      <c r="AB50" s="51">
        <v>5</v>
      </c>
      <c r="AC50" s="52">
        <v>3</v>
      </c>
    </row>
    <row r="51" spans="1:40" ht="6" customHeight="1">
      <c r="D51" s="70"/>
      <c r="E51" s="70"/>
      <c r="F51" s="70"/>
      <c r="G51" s="70"/>
      <c r="H51" s="70"/>
      <c r="L51" s="70"/>
      <c r="N51" s="69"/>
      <c r="O51" s="125"/>
      <c r="P51" s="125"/>
      <c r="Q51" s="125"/>
      <c r="R51" s="125"/>
      <c r="S51" s="125"/>
      <c r="T51" s="125"/>
      <c r="U51" s="126"/>
    </row>
    <row r="52" spans="1:40" s="46" customFormat="1" ht="20.100000000000001" customHeight="1">
      <c r="A52" s="45" t="s">
        <v>122</v>
      </c>
      <c r="C52" s="45"/>
      <c r="K52" s="47"/>
      <c r="M52" s="48" t="s">
        <v>9</v>
      </c>
      <c r="N52" s="46" t="s">
        <v>71</v>
      </c>
      <c r="O52" s="49" t="s">
        <v>10</v>
      </c>
      <c r="P52" s="49" t="s">
        <v>11</v>
      </c>
      <c r="Q52" s="49" t="s">
        <v>12</v>
      </c>
      <c r="R52" s="49" t="s">
        <v>13</v>
      </c>
      <c r="S52" s="49" t="s">
        <v>14</v>
      </c>
      <c r="T52" s="49" t="s">
        <v>18</v>
      </c>
      <c r="U52" s="49" t="s">
        <v>15</v>
      </c>
      <c r="V52" s="50"/>
      <c r="W52" s="50"/>
      <c r="X52" s="51"/>
      <c r="Y52" s="52"/>
      <c r="Z52" s="51"/>
      <c r="AA52" s="52"/>
      <c r="AB52" s="51"/>
      <c r="AC52" s="52"/>
      <c r="AD52" s="51"/>
      <c r="AE52" s="52"/>
      <c r="AF52" s="51"/>
      <c r="AG52" s="52"/>
      <c r="AH52" s="51"/>
      <c r="AI52" s="52"/>
      <c r="AJ52" s="53"/>
      <c r="AK52" s="54"/>
      <c r="AL52" s="54"/>
      <c r="AM52" s="54"/>
      <c r="AN52" s="54"/>
    </row>
    <row r="53" spans="1:40" ht="6" customHeight="1">
      <c r="D53" s="70"/>
      <c r="E53" s="70"/>
      <c r="F53" s="70"/>
      <c r="G53" s="70"/>
      <c r="H53" s="70"/>
      <c r="L53" s="70"/>
      <c r="N53" s="69"/>
      <c r="O53" s="125"/>
      <c r="P53" s="125"/>
      <c r="Q53" s="125"/>
      <c r="R53" s="125"/>
      <c r="S53" s="125"/>
      <c r="T53" s="125"/>
      <c r="U53" s="126"/>
    </row>
    <row r="54" spans="1:40" ht="15.95" customHeight="1">
      <c r="A54" s="62">
        <v>5</v>
      </c>
      <c r="B54" s="121" t="s">
        <v>121</v>
      </c>
      <c r="I54" s="145"/>
      <c r="J54" s="145"/>
      <c r="K54" s="146"/>
      <c r="O54" s="125"/>
      <c r="P54" s="125"/>
      <c r="Q54" s="125"/>
      <c r="R54" s="125"/>
      <c r="S54" s="125"/>
      <c r="T54" s="125"/>
      <c r="U54" s="129"/>
    </row>
    <row r="55" spans="1:40" ht="15.95" customHeight="1">
      <c r="B55" s="64" t="s">
        <v>77</v>
      </c>
      <c r="G55" s="514" t="s">
        <v>23</v>
      </c>
      <c r="H55" s="514"/>
      <c r="I55" s="527" t="s">
        <v>130</v>
      </c>
      <c r="J55" s="527"/>
      <c r="K55" s="147" t="s">
        <v>153</v>
      </c>
      <c r="O55" s="125"/>
      <c r="P55" s="125"/>
      <c r="Q55" s="125"/>
      <c r="R55" s="125"/>
      <c r="S55" s="125"/>
      <c r="T55" s="125"/>
      <c r="U55" s="129"/>
    </row>
    <row r="56" spans="1:40" ht="15.95" customHeight="1">
      <c r="B56" s="64"/>
      <c r="G56" s="147"/>
      <c r="H56" s="147"/>
      <c r="I56" s="147" t="s">
        <v>128</v>
      </c>
      <c r="J56" s="145"/>
      <c r="K56" s="96" t="s">
        <v>94</v>
      </c>
      <c r="L56" s="147"/>
      <c r="O56" s="125"/>
      <c r="P56" s="125"/>
      <c r="Q56" s="125"/>
      <c r="R56" s="125"/>
      <c r="S56" s="125"/>
      <c r="T56" s="125"/>
      <c r="U56" s="129"/>
    </row>
    <row r="57" spans="1:40" ht="6" customHeight="1">
      <c r="B57" s="64"/>
      <c r="G57" s="147"/>
      <c r="H57" s="147"/>
      <c r="J57" s="145"/>
      <c r="L57" s="147"/>
      <c r="O57" s="125"/>
      <c r="P57" s="125"/>
      <c r="Q57" s="125"/>
      <c r="R57" s="125"/>
      <c r="S57" s="125"/>
      <c r="T57" s="125"/>
      <c r="U57" s="129"/>
    </row>
    <row r="58" spans="1:40" ht="15.95" customHeight="1">
      <c r="A58" s="62">
        <v>5.0999999999999996</v>
      </c>
      <c r="B58" s="511" t="s">
        <v>131</v>
      </c>
      <c r="C58" s="511"/>
      <c r="D58" s="511"/>
      <c r="E58" s="511"/>
      <c r="F58" s="511"/>
      <c r="G58" s="88">
        <v>0</v>
      </c>
      <c r="H58" s="147"/>
      <c r="I58" s="88">
        <v>0</v>
      </c>
      <c r="J58" s="145"/>
      <c r="K58" s="88">
        <v>0</v>
      </c>
      <c r="L58" s="147"/>
      <c r="M58" s="509" t="str">
        <f>IF(SUM(G58:G60, G69)&gt;DGL,"Fläche der BFF auf Grünland darf nicht grösser sein als Dauergrünland","")</f>
        <v/>
      </c>
      <c r="O58" s="125"/>
      <c r="P58" s="125"/>
      <c r="Q58" s="125"/>
      <c r="R58" s="125"/>
      <c r="S58" s="125"/>
      <c r="T58" s="125"/>
      <c r="U58" s="129"/>
    </row>
    <row r="59" spans="1:40" ht="15.95" customHeight="1">
      <c r="A59" s="62">
        <v>5.2</v>
      </c>
      <c r="B59" s="511" t="s">
        <v>133</v>
      </c>
      <c r="C59" s="511"/>
      <c r="D59" s="511"/>
      <c r="E59" s="511"/>
      <c r="F59" s="511"/>
      <c r="G59" s="88">
        <v>0</v>
      </c>
      <c r="H59" s="147"/>
      <c r="I59" s="88">
        <v>0</v>
      </c>
      <c r="J59" s="145"/>
      <c r="K59" s="88">
        <v>0</v>
      </c>
      <c r="L59" s="147"/>
      <c r="O59" s="125"/>
      <c r="P59" s="125"/>
      <c r="Q59" s="125"/>
      <c r="R59" s="125"/>
      <c r="S59" s="125"/>
      <c r="T59" s="125"/>
      <c r="U59" s="129"/>
    </row>
    <row r="60" spans="1:40" ht="15.95" customHeight="1">
      <c r="A60" s="62">
        <v>5.3</v>
      </c>
      <c r="B60" s="511" t="s">
        <v>355</v>
      </c>
      <c r="C60" s="511"/>
      <c r="D60" s="511"/>
      <c r="E60" s="511"/>
      <c r="F60" s="511"/>
      <c r="G60" s="88">
        <v>0</v>
      </c>
      <c r="H60" s="147"/>
      <c r="I60" s="88">
        <v>0</v>
      </c>
      <c r="J60" s="145"/>
      <c r="K60" s="88">
        <v>0</v>
      </c>
      <c r="L60" s="147"/>
      <c r="O60" s="125"/>
      <c r="P60" s="125"/>
      <c r="Q60" s="125"/>
      <c r="R60" s="125"/>
      <c r="S60" s="125"/>
      <c r="T60" s="125"/>
      <c r="U60" s="129"/>
    </row>
    <row r="61" spans="1:40" ht="15.95" customHeight="1">
      <c r="A61" s="62">
        <v>5.4</v>
      </c>
      <c r="B61" s="511" t="s">
        <v>135</v>
      </c>
      <c r="C61" s="511"/>
      <c r="D61" s="511"/>
      <c r="E61" s="511"/>
      <c r="F61" s="511"/>
      <c r="G61" s="88">
        <v>0</v>
      </c>
      <c r="H61" s="147"/>
      <c r="I61" s="110">
        <f>G61</f>
        <v>0</v>
      </c>
      <c r="J61" s="145"/>
      <c r="K61" s="110">
        <f>G61</f>
        <v>0</v>
      </c>
      <c r="L61" s="147"/>
      <c r="N61" s="148"/>
      <c r="O61" s="125"/>
      <c r="P61" s="125"/>
      <c r="Q61" s="125"/>
      <c r="R61" s="125"/>
      <c r="S61" s="125"/>
      <c r="T61" s="125"/>
      <c r="U61" s="129"/>
    </row>
    <row r="62" spans="1:40" ht="15.95" customHeight="1">
      <c r="A62" s="62">
        <v>5.5</v>
      </c>
      <c r="B62" s="511" t="s">
        <v>136</v>
      </c>
      <c r="C62" s="511"/>
      <c r="D62" s="511"/>
      <c r="E62" s="511"/>
      <c r="F62" s="511"/>
      <c r="G62" s="88">
        <v>0</v>
      </c>
      <c r="H62" s="147"/>
      <c r="I62" s="110">
        <f t="shared" ref="I62:I64" si="0">G62</f>
        <v>0</v>
      </c>
      <c r="J62" s="145"/>
      <c r="K62" s="110">
        <f>G62</f>
        <v>0</v>
      </c>
      <c r="L62" s="147"/>
      <c r="N62" s="148"/>
      <c r="O62" s="125"/>
      <c r="P62" s="125"/>
      <c r="Q62" s="125"/>
      <c r="R62" s="125"/>
      <c r="S62" s="125"/>
      <c r="T62" s="125"/>
      <c r="U62" s="129"/>
    </row>
    <row r="63" spans="1:40" ht="15.95" customHeight="1">
      <c r="A63" s="62">
        <v>5.6</v>
      </c>
      <c r="B63" s="511" t="s">
        <v>191</v>
      </c>
      <c r="C63" s="511"/>
      <c r="D63" s="511"/>
      <c r="E63" s="511"/>
      <c r="F63" s="511"/>
      <c r="G63" s="88">
        <v>0</v>
      </c>
      <c r="H63" s="147"/>
      <c r="I63" s="110">
        <f t="shared" si="0"/>
        <v>0</v>
      </c>
      <c r="J63" s="145"/>
      <c r="K63" s="110">
        <f>G63</f>
        <v>0</v>
      </c>
      <c r="L63" s="147"/>
      <c r="N63" s="148"/>
      <c r="O63" s="125"/>
      <c r="P63" s="125"/>
      <c r="Q63" s="125"/>
      <c r="R63" s="125"/>
      <c r="S63" s="125"/>
      <c r="T63" s="125"/>
      <c r="U63" s="129"/>
    </row>
    <row r="64" spans="1:40" ht="15.95" customHeight="1">
      <c r="A64" s="62">
        <v>5.7</v>
      </c>
      <c r="B64" s="511" t="s">
        <v>189</v>
      </c>
      <c r="C64" s="511"/>
      <c r="D64" s="511"/>
      <c r="E64" s="511"/>
      <c r="F64" s="511"/>
      <c r="G64" s="88">
        <v>0</v>
      </c>
      <c r="H64" s="147"/>
      <c r="I64" s="110">
        <f t="shared" si="0"/>
        <v>0</v>
      </c>
      <c r="J64" s="145"/>
      <c r="L64" s="147"/>
      <c r="M64" s="69"/>
      <c r="N64" s="148"/>
      <c r="O64" s="125"/>
      <c r="P64" s="125"/>
      <c r="Q64" s="125"/>
      <c r="R64" s="125"/>
      <c r="S64" s="125"/>
      <c r="T64" s="125"/>
      <c r="U64" s="129"/>
    </row>
    <row r="65" spans="1:23" ht="15.95" customHeight="1">
      <c r="A65" s="62">
        <v>5.8</v>
      </c>
      <c r="B65" s="511" t="s">
        <v>144</v>
      </c>
      <c r="C65" s="511"/>
      <c r="D65" s="511"/>
      <c r="E65" s="511"/>
      <c r="F65" s="511"/>
      <c r="G65" s="88">
        <v>0</v>
      </c>
      <c r="H65" s="147"/>
      <c r="J65" s="145"/>
      <c r="L65" s="147"/>
      <c r="M65" s="69"/>
      <c r="N65" s="148"/>
      <c r="O65" s="125"/>
      <c r="P65" s="125"/>
      <c r="Q65" s="125"/>
      <c r="R65" s="125"/>
      <c r="S65" s="125"/>
      <c r="T65" s="125"/>
      <c r="U65" s="129"/>
    </row>
    <row r="66" spans="1:23" ht="15.95" customHeight="1">
      <c r="B66" s="511" t="s">
        <v>193</v>
      </c>
      <c r="C66" s="511"/>
      <c r="D66" s="511"/>
      <c r="E66" s="511"/>
      <c r="F66" s="511"/>
      <c r="G66" s="110"/>
      <c r="H66" s="110"/>
      <c r="I66" s="88">
        <v>0</v>
      </c>
      <c r="J66" s="145"/>
      <c r="K66" s="110">
        <f>+I66</f>
        <v>0</v>
      </c>
      <c r="L66" s="147"/>
      <c r="N66" s="149"/>
      <c r="O66" s="125"/>
      <c r="P66" s="125"/>
      <c r="Q66" s="125"/>
      <c r="R66" s="125"/>
      <c r="S66" s="125"/>
      <c r="T66" s="125"/>
      <c r="U66" s="129"/>
    </row>
    <row r="67" spans="1:23" ht="15.95" customHeight="1">
      <c r="A67" s="94" t="s">
        <v>132</v>
      </c>
      <c r="B67" s="511" t="s">
        <v>137</v>
      </c>
      <c r="C67" s="511"/>
      <c r="D67" s="511"/>
      <c r="E67" s="511"/>
      <c r="F67" s="511"/>
      <c r="G67" s="88">
        <v>0</v>
      </c>
      <c r="H67" s="147"/>
      <c r="J67" s="145"/>
      <c r="L67" s="147"/>
      <c r="M67" s="69"/>
      <c r="N67" s="148"/>
      <c r="O67" s="125"/>
      <c r="P67" s="125"/>
      <c r="Q67" s="125"/>
      <c r="R67" s="125"/>
      <c r="S67" s="125"/>
      <c r="T67" s="125"/>
      <c r="U67" s="129"/>
    </row>
    <row r="68" spans="1:23" ht="15.95" customHeight="1">
      <c r="A68" s="62">
        <v>5.9</v>
      </c>
      <c r="B68" s="511" t="s">
        <v>138</v>
      </c>
      <c r="C68" s="511"/>
      <c r="D68" s="511"/>
      <c r="E68" s="511"/>
      <c r="F68" s="511"/>
      <c r="G68" s="88">
        <v>0</v>
      </c>
      <c r="H68" s="147"/>
      <c r="I68" s="88">
        <v>0</v>
      </c>
      <c r="J68" s="145"/>
      <c r="K68" s="88">
        <v>0</v>
      </c>
      <c r="L68" s="147"/>
      <c r="N68" s="148"/>
      <c r="O68" s="125"/>
      <c r="P68" s="125"/>
      <c r="Q68" s="125"/>
      <c r="R68" s="125"/>
      <c r="S68" s="125"/>
      <c r="T68" s="125"/>
      <c r="U68" s="129"/>
    </row>
    <row r="69" spans="1:23" ht="15.95" customHeight="1">
      <c r="A69" s="98" t="s">
        <v>34</v>
      </c>
      <c r="B69" s="511" t="s">
        <v>139</v>
      </c>
      <c r="C69" s="511"/>
      <c r="D69" s="511"/>
      <c r="E69" s="511"/>
      <c r="F69" s="511"/>
      <c r="G69" s="88">
        <v>0</v>
      </c>
      <c r="H69" s="147"/>
      <c r="I69" s="110">
        <f t="shared" ref="I69" si="1">G69</f>
        <v>0</v>
      </c>
      <c r="J69" s="145"/>
      <c r="K69" s="88">
        <v>0</v>
      </c>
      <c r="L69" s="147"/>
      <c r="N69" s="148"/>
      <c r="O69" s="150"/>
      <c r="P69" s="125"/>
      <c r="Q69" s="125"/>
      <c r="R69" s="125"/>
      <c r="S69" s="125"/>
      <c r="T69" s="125"/>
      <c r="U69" s="129"/>
    </row>
    <row r="70" spans="1:23" ht="15.95" customHeight="1">
      <c r="A70" s="62">
        <v>5.1100000000000003</v>
      </c>
      <c r="B70" s="511" t="s">
        <v>475</v>
      </c>
      <c r="C70" s="511"/>
      <c r="D70" s="511"/>
      <c r="E70" s="511"/>
      <c r="F70" s="511"/>
      <c r="G70" s="88">
        <v>0</v>
      </c>
      <c r="H70" s="147"/>
      <c r="K70" s="88">
        <v>0</v>
      </c>
      <c r="L70" s="151"/>
      <c r="N70" s="148"/>
      <c r="O70" s="150"/>
      <c r="P70" s="125"/>
      <c r="Q70" s="125"/>
      <c r="R70" s="125"/>
      <c r="S70" s="125"/>
      <c r="T70" s="125"/>
      <c r="U70" s="129"/>
    </row>
    <row r="71" spans="1:23" ht="15.95" customHeight="1">
      <c r="A71" s="98">
        <v>5.12</v>
      </c>
      <c r="B71" s="511" t="s">
        <v>140</v>
      </c>
      <c r="C71" s="511"/>
      <c r="D71" s="511"/>
      <c r="E71" s="511"/>
      <c r="F71" s="511"/>
      <c r="G71" s="88">
        <v>0</v>
      </c>
      <c r="H71" s="147"/>
      <c r="I71" s="88">
        <v>0</v>
      </c>
      <c r="J71" s="145"/>
      <c r="K71" s="88">
        <v>0</v>
      </c>
      <c r="L71" s="147"/>
      <c r="N71" s="148"/>
      <c r="O71" s="125"/>
      <c r="P71" s="125"/>
      <c r="Q71" s="125"/>
      <c r="R71" s="125"/>
      <c r="S71" s="125"/>
      <c r="T71" s="125"/>
      <c r="U71" s="129"/>
    </row>
    <row r="72" spans="1:23" ht="15.95" customHeight="1">
      <c r="A72" s="98">
        <v>5.13</v>
      </c>
      <c r="B72" s="511" t="s">
        <v>141</v>
      </c>
      <c r="C72" s="511"/>
      <c r="D72" s="511"/>
      <c r="E72" s="511"/>
      <c r="F72" s="511"/>
      <c r="G72" s="88">
        <v>0</v>
      </c>
      <c r="H72" s="147"/>
      <c r="I72" s="71"/>
      <c r="J72" s="71"/>
      <c r="L72" s="147"/>
      <c r="M72" s="69"/>
      <c r="N72" s="148"/>
      <c r="O72" s="125"/>
      <c r="P72" s="125"/>
      <c r="Q72" s="125"/>
      <c r="R72" s="125"/>
      <c r="S72" s="125"/>
      <c r="T72" s="125"/>
      <c r="U72" s="129"/>
    </row>
    <row r="73" spans="1:23" ht="15.95" customHeight="1">
      <c r="A73" s="98">
        <v>5.14</v>
      </c>
      <c r="B73" s="511" t="s">
        <v>143</v>
      </c>
      <c r="C73" s="511"/>
      <c r="D73" s="511"/>
      <c r="E73" s="511"/>
      <c r="F73" s="511"/>
      <c r="G73" s="139">
        <v>0</v>
      </c>
      <c r="H73" s="147"/>
      <c r="I73" s="139">
        <v>0</v>
      </c>
      <c r="J73" s="71"/>
      <c r="K73" s="71"/>
      <c r="L73" s="147"/>
      <c r="M73" s="69"/>
      <c r="N73" s="148"/>
      <c r="O73" s="125"/>
      <c r="P73" s="125"/>
      <c r="Q73" s="125"/>
      <c r="R73" s="125"/>
      <c r="S73" s="125"/>
      <c r="T73" s="125"/>
      <c r="U73" s="129"/>
    </row>
    <row r="74" spans="1:23" ht="15.95" customHeight="1">
      <c r="A74" s="98"/>
      <c r="B74" s="132" t="s">
        <v>2</v>
      </c>
      <c r="C74" s="511" t="s">
        <v>61</v>
      </c>
      <c r="D74" s="511"/>
      <c r="E74" s="511"/>
      <c r="F74" s="511"/>
      <c r="G74" s="110">
        <f>+G73*0.01</f>
        <v>0</v>
      </c>
      <c r="H74" s="71"/>
      <c r="I74" s="110">
        <f>+I73*0.01</f>
        <v>0</v>
      </c>
      <c r="J74" s="71"/>
      <c r="K74" s="71"/>
      <c r="L74" s="71"/>
      <c r="M74" s="110"/>
      <c r="N74" s="148"/>
      <c r="O74" s="125"/>
      <c r="P74" s="125"/>
      <c r="Q74" s="125"/>
      <c r="R74" s="125"/>
      <c r="S74" s="125"/>
      <c r="T74" s="125"/>
      <c r="U74" s="129"/>
    </row>
    <row r="75" spans="1:23" ht="6" customHeight="1">
      <c r="A75" s="524"/>
      <c r="B75" s="524"/>
      <c r="C75" s="524"/>
      <c r="D75" s="524"/>
      <c r="E75" s="524"/>
      <c r="F75" s="524"/>
      <c r="G75" s="524"/>
      <c r="H75" s="524"/>
      <c r="I75" s="524"/>
      <c r="J75" s="524"/>
      <c r="K75" s="524"/>
      <c r="L75" s="524"/>
      <c r="M75" s="524"/>
      <c r="N75" s="524"/>
      <c r="O75" s="125"/>
      <c r="P75" s="125"/>
      <c r="Q75" s="125"/>
      <c r="R75" s="125"/>
      <c r="S75" s="125"/>
      <c r="T75" s="125"/>
      <c r="U75" s="129"/>
    </row>
    <row r="76" spans="1:23" ht="15.95" customHeight="1">
      <c r="A76" s="98" t="s">
        <v>154</v>
      </c>
      <c r="B76" s="511" t="s">
        <v>117</v>
      </c>
      <c r="C76" s="511"/>
      <c r="D76" s="511"/>
      <c r="E76" s="511"/>
      <c r="F76" s="511"/>
      <c r="G76" s="110">
        <f>+SUM(G58:G65, G68:G72) + (G67*0.05)</f>
        <v>0</v>
      </c>
      <c r="H76" s="64"/>
      <c r="I76" s="110">
        <f>SUM(I57:I71)</f>
        <v>0</v>
      </c>
      <c r="K76" s="110">
        <f>SUM(K58:K72)</f>
        <v>0</v>
      </c>
      <c r="L76" s="64"/>
      <c r="O76" s="125"/>
      <c r="P76" s="125"/>
      <c r="Q76" s="125"/>
      <c r="R76" s="125"/>
      <c r="S76" s="125"/>
      <c r="T76" s="125"/>
      <c r="U76" s="129"/>
    </row>
    <row r="77" spans="1:23" ht="15.95" customHeight="1">
      <c r="A77" s="98" t="s">
        <v>36</v>
      </c>
      <c r="B77" s="526" t="s">
        <v>24</v>
      </c>
      <c r="C77" s="526"/>
      <c r="D77" s="526"/>
      <c r="E77" s="526"/>
      <c r="F77" s="526"/>
      <c r="G77" s="153">
        <f>+G76/LN</f>
        <v>0</v>
      </c>
      <c r="H77" s="64"/>
      <c r="I77" s="154"/>
      <c r="L77" s="64"/>
      <c r="M77" s="155"/>
      <c r="O77" s="125"/>
      <c r="P77" s="125"/>
      <c r="Q77" s="125"/>
      <c r="R77" s="125"/>
      <c r="S77" s="125"/>
      <c r="T77" s="125"/>
      <c r="U77" s="129"/>
      <c r="W77" s="50">
        <f>+IF(G77&lt;=0.056,1,0)</f>
        <v>1</v>
      </c>
    </row>
    <row r="78" spans="1:23" ht="6" customHeight="1">
      <c r="A78" s="152"/>
      <c r="B78" s="152"/>
      <c r="C78" s="508"/>
      <c r="D78" s="152"/>
      <c r="E78" s="152"/>
      <c r="F78" s="152"/>
      <c r="G78" s="152"/>
      <c r="H78" s="152"/>
      <c r="I78" s="152"/>
      <c r="J78" s="152"/>
      <c r="K78" s="152"/>
      <c r="L78" s="152"/>
      <c r="M78" s="152"/>
      <c r="N78" s="152"/>
      <c r="O78" s="125"/>
      <c r="P78" s="125"/>
      <c r="Q78" s="125"/>
      <c r="R78" s="125"/>
      <c r="S78" s="125"/>
      <c r="T78" s="125"/>
      <c r="U78" s="129"/>
    </row>
    <row r="79" spans="1:23" ht="15.95" customHeight="1">
      <c r="A79" s="62">
        <v>5.16</v>
      </c>
      <c r="B79" s="64" t="s">
        <v>118</v>
      </c>
      <c r="E79" s="147"/>
      <c r="G79" s="110">
        <f>+öAF_ohne_Bäume+G74</f>
        <v>0</v>
      </c>
      <c r="H79" s="64"/>
      <c r="I79" s="110">
        <f>+I76+I74</f>
        <v>0</v>
      </c>
      <c r="K79" s="110"/>
      <c r="L79" s="64"/>
      <c r="M79" s="155"/>
      <c r="O79" s="125"/>
      <c r="P79" s="125"/>
      <c r="Q79" s="125"/>
      <c r="R79" s="125"/>
      <c r="S79" s="125"/>
      <c r="T79" s="125"/>
      <c r="U79" s="129"/>
      <c r="W79" s="50">
        <f>+IF(G76/LN&lt;0.072,1,0)</f>
        <v>1</v>
      </c>
    </row>
    <row r="80" spans="1:23" ht="6" customHeight="1">
      <c r="B80" s="64"/>
      <c r="E80" s="147"/>
      <c r="G80" s="110"/>
      <c r="H80" s="64"/>
      <c r="I80" s="64"/>
      <c r="L80" s="64"/>
      <c r="M80" s="155"/>
      <c r="O80" s="125"/>
      <c r="P80" s="125"/>
      <c r="Q80" s="125"/>
      <c r="R80" s="125"/>
      <c r="S80" s="125"/>
      <c r="T80" s="125"/>
      <c r="U80" s="129"/>
    </row>
    <row r="81" spans="1:40" ht="15.95" customHeight="1">
      <c r="A81" s="94"/>
      <c r="B81" s="110">
        <f>LN-Spezialkulturen</f>
        <v>1</v>
      </c>
      <c r="C81" s="64" t="s">
        <v>356</v>
      </c>
      <c r="E81" s="147"/>
      <c r="G81" s="110"/>
      <c r="H81" s="64"/>
      <c r="I81" s="64"/>
      <c r="L81" s="64"/>
      <c r="M81" s="155"/>
      <c r="O81" s="125"/>
      <c r="P81" s="125"/>
      <c r="Q81" s="125"/>
      <c r="R81" s="125"/>
      <c r="S81" s="125"/>
      <c r="T81" s="125"/>
      <c r="U81" s="129"/>
    </row>
    <row r="82" spans="1:40" ht="15.95" customHeight="1">
      <c r="A82" s="94"/>
      <c r="B82" s="110">
        <f>Spezialkulturen</f>
        <v>0</v>
      </c>
      <c r="C82" s="64" t="s">
        <v>357</v>
      </c>
      <c r="E82" s="147"/>
      <c r="G82" s="110"/>
      <c r="H82" s="64"/>
      <c r="I82" s="64"/>
      <c r="L82" s="64"/>
      <c r="M82" s="155"/>
      <c r="O82" s="125"/>
      <c r="P82" s="125"/>
      <c r="Q82" s="125"/>
      <c r="R82" s="125"/>
      <c r="S82" s="125"/>
      <c r="T82" s="125"/>
      <c r="U82" s="129"/>
    </row>
    <row r="83" spans="1:40" ht="15.95" customHeight="1">
      <c r="B83" s="511" t="s">
        <v>201</v>
      </c>
      <c r="C83" s="511"/>
      <c r="D83" s="511"/>
      <c r="E83" s="511"/>
      <c r="F83" s="511"/>
      <c r="G83" s="153">
        <f>(Spezialkulturen*0.05 + (LN-Spezialkulturen)*0.09)/LN</f>
        <v>0.09</v>
      </c>
      <c r="H83" s="110"/>
      <c r="I83" s="110"/>
      <c r="L83" s="64"/>
      <c r="M83" s="155"/>
      <c r="O83" s="125"/>
      <c r="P83" s="125"/>
      <c r="Q83" s="125"/>
      <c r="R83" s="125"/>
      <c r="S83" s="125"/>
      <c r="T83" s="125"/>
      <c r="U83" s="129"/>
    </row>
    <row r="84" spans="1:40" ht="15.95" customHeight="1">
      <c r="A84" s="62" t="s">
        <v>38</v>
      </c>
      <c r="B84" s="511" t="s">
        <v>313</v>
      </c>
      <c r="C84" s="511"/>
      <c r="D84" s="511"/>
      <c r="E84" s="511"/>
      <c r="F84" s="511"/>
      <c r="G84" s="153">
        <f>+G79/LN</f>
        <v>0</v>
      </c>
      <c r="H84" s="64"/>
      <c r="I84" s="154"/>
      <c r="L84" s="64"/>
      <c r="M84" s="127">
        <f>+IF(G84&gt;AH84,AI84,IF(G84&gt;AF84,AG84,IF(G84&gt;AD84,AE84,IF(G84&gt;AB84,AC84,IF(G84&gt;Z84,AA84,IF(G84&gt;=X84,Y84,0))))))</f>
        <v>0</v>
      </c>
      <c r="O84" s="144" t="str">
        <f>+X84*100&amp;"–"&amp;Z84*100</f>
        <v>7–9</v>
      </c>
      <c r="P84" s="157" t="str">
        <f>+"&gt;"&amp;Z84*100&amp;"–"&amp;AB84*100</f>
        <v>&gt;9–12</v>
      </c>
      <c r="Q84" s="125" t="str">
        <f>+"&gt;"&amp;AB84*100&amp;"–"&amp;AD84*100</f>
        <v>&gt;12–15</v>
      </c>
      <c r="R84" s="125" t="str">
        <f>+"&gt;"&amp;AD84*100&amp;"–"&amp;AF84*100</f>
        <v>&gt;15–18</v>
      </c>
      <c r="S84" s="125" t="str">
        <f>+"&gt;"&amp;AF84*100&amp;"–"&amp;AH84*100</f>
        <v>&gt;18–21</v>
      </c>
      <c r="T84" s="125" t="str">
        <f>+"&gt;"&amp;AH84*100</f>
        <v>&gt;21</v>
      </c>
      <c r="U84" s="129" t="s">
        <v>41</v>
      </c>
      <c r="V84" s="135">
        <v>2</v>
      </c>
      <c r="W84" s="136"/>
      <c r="X84" s="158">
        <v>7.0000000000000007E-2</v>
      </c>
      <c r="Y84" s="92">
        <v>1</v>
      </c>
      <c r="Z84" s="158">
        <v>0.09</v>
      </c>
      <c r="AA84" s="92">
        <v>2</v>
      </c>
      <c r="AB84" s="158">
        <v>0.12</v>
      </c>
      <c r="AC84" s="92">
        <v>3</v>
      </c>
      <c r="AD84" s="158">
        <v>0.15</v>
      </c>
      <c r="AE84" s="92">
        <v>4</v>
      </c>
      <c r="AF84" s="158">
        <v>0.18</v>
      </c>
      <c r="AG84" s="92">
        <v>5</v>
      </c>
      <c r="AH84" s="158">
        <v>0.21</v>
      </c>
      <c r="AI84" s="92">
        <v>6</v>
      </c>
    </row>
    <row r="85" spans="1:40" ht="15.75" hidden="1" customHeight="1">
      <c r="B85" s="64"/>
      <c r="G85" s="153"/>
      <c r="H85" s="64"/>
      <c r="I85" s="154"/>
      <c r="L85" s="64"/>
      <c r="M85" s="127"/>
      <c r="O85" s="144"/>
      <c r="P85" s="157"/>
      <c r="Q85" s="125"/>
      <c r="R85" s="125"/>
      <c r="S85" s="125"/>
      <c r="T85" s="125"/>
      <c r="U85" s="129"/>
      <c r="V85" s="135"/>
      <c r="W85" s="136"/>
      <c r="X85" s="158"/>
      <c r="Y85" s="92"/>
      <c r="Z85" s="158"/>
      <c r="AA85" s="92"/>
      <c r="AB85" s="158"/>
      <c r="AC85" s="92"/>
      <c r="AD85" s="158"/>
      <c r="AE85" s="92"/>
      <c r="AF85" s="158"/>
      <c r="AG85" s="92"/>
      <c r="AH85" s="158"/>
      <c r="AI85" s="92"/>
    </row>
    <row r="86" spans="1:40" ht="15.75" hidden="1" customHeight="1">
      <c r="B86" s="64"/>
      <c r="G86" s="153"/>
      <c r="H86" s="64"/>
      <c r="I86" s="154"/>
      <c r="L86" s="64"/>
      <c r="M86" s="127"/>
      <c r="O86" s="144"/>
      <c r="P86" s="157"/>
      <c r="Q86" s="125"/>
      <c r="R86" s="125"/>
      <c r="S86" s="125"/>
      <c r="T86" s="125"/>
      <c r="U86" s="129"/>
      <c r="V86" s="135"/>
      <c r="W86" s="136"/>
      <c r="X86" s="158"/>
      <c r="Y86" s="92"/>
      <c r="Z86" s="158"/>
      <c r="AA86" s="92"/>
      <c r="AB86" s="158"/>
      <c r="AC86" s="92"/>
      <c r="AD86" s="158"/>
      <c r="AE86" s="92"/>
      <c r="AF86" s="158"/>
      <c r="AG86" s="92"/>
      <c r="AH86" s="158"/>
      <c r="AI86" s="92"/>
    </row>
    <row r="87" spans="1:40" ht="15.95" customHeight="1">
      <c r="A87" s="159"/>
      <c r="B87" s="159"/>
      <c r="C87" s="156" t="str">
        <f>+IF(AND(G84&lt;G83, M1&lt;22), "Es müssen mindestens " &amp;G83*100 &amp;"% BFF auf der LN oder 22 Biodiversitätspunkte vorhanden sein, um die Labelbedingungen zu erfüllen!","")</f>
        <v>Es müssen mindestens 9% BFF auf der LN oder 22 Biodiversitätspunkte vorhanden sein, um die Labelbedingungen zu erfüllen!</v>
      </c>
      <c r="D87" s="159"/>
      <c r="E87" s="159"/>
      <c r="F87" s="159"/>
      <c r="G87" s="159"/>
      <c r="H87" s="159"/>
      <c r="I87" s="159"/>
      <c r="J87" s="159"/>
      <c r="K87" s="159"/>
      <c r="L87" s="159"/>
      <c r="M87" s="159"/>
      <c r="N87" s="159"/>
      <c r="O87" s="125"/>
      <c r="P87" s="125"/>
      <c r="Q87" s="125"/>
      <c r="R87" s="125"/>
      <c r="S87" s="125"/>
      <c r="T87" s="125"/>
      <c r="U87" s="129"/>
    </row>
    <row r="88" spans="1:40" hidden="1">
      <c r="A88" s="62">
        <v>5.17</v>
      </c>
      <c r="B88" s="511" t="s">
        <v>161</v>
      </c>
      <c r="C88" s="511"/>
      <c r="D88" s="511"/>
      <c r="E88" s="511"/>
      <c r="F88" s="511"/>
      <c r="G88" s="110">
        <f>+G61+G62+G63+G64+G65 + IF(offene_Ackerfläche&gt;=3,MIN(Ackerfläche*0.0175,#REF!),0)</f>
        <v>0</v>
      </c>
      <c r="H88" s="64"/>
      <c r="I88" s="110"/>
      <c r="L88" s="64"/>
      <c r="M88" s="160"/>
      <c r="O88" s="125"/>
      <c r="P88" s="125"/>
      <c r="Q88" s="125"/>
      <c r="R88" s="125"/>
      <c r="S88" s="125"/>
      <c r="T88" s="125"/>
      <c r="U88" s="129"/>
    </row>
    <row r="89" spans="1:40" hidden="1">
      <c r="A89" s="98" t="s">
        <v>96</v>
      </c>
      <c r="B89" s="64" t="s">
        <v>35</v>
      </c>
      <c r="G89" s="154">
        <f>+IF(Ackerfläche&gt;0,G88/Ackerfläche,0)</f>
        <v>0</v>
      </c>
      <c r="H89" s="64"/>
      <c r="I89" s="154"/>
      <c r="L89" s="64"/>
      <c r="M89" s="155"/>
      <c r="O89" s="125"/>
      <c r="P89" s="125"/>
      <c r="Q89" s="125"/>
      <c r="R89" s="125"/>
      <c r="S89" s="125"/>
      <c r="T89" s="125"/>
      <c r="U89" s="129"/>
      <c r="W89" s="50">
        <f>+IF(Ackerfläche&lt;=3,0,IF(G89&gt;=0.03,0,1))</f>
        <v>0</v>
      </c>
    </row>
    <row r="90" spans="1:40" ht="6" customHeight="1">
      <c r="A90" s="524"/>
      <c r="B90" s="524"/>
      <c r="C90" s="524"/>
      <c r="D90" s="524"/>
      <c r="E90" s="524"/>
      <c r="F90" s="524"/>
      <c r="G90" s="524"/>
      <c r="H90" s="524"/>
      <c r="I90" s="524"/>
      <c r="J90" s="524"/>
      <c r="K90" s="524"/>
      <c r="L90" s="524"/>
      <c r="M90" s="524"/>
      <c r="N90" s="524"/>
      <c r="O90" s="125"/>
      <c r="P90" s="125"/>
      <c r="Q90" s="125"/>
      <c r="R90" s="125"/>
      <c r="S90" s="125"/>
      <c r="T90" s="125"/>
      <c r="U90" s="129"/>
    </row>
    <row r="91" spans="1:40" s="64" customFormat="1" ht="15.95" customHeight="1">
      <c r="A91" s="62" t="s">
        <v>157</v>
      </c>
      <c r="B91" s="511" t="s">
        <v>158</v>
      </c>
      <c r="C91" s="511"/>
      <c r="D91" s="511"/>
      <c r="E91" s="511"/>
      <c r="F91" s="511"/>
      <c r="G91" s="154"/>
      <c r="I91" s="110">
        <f>+G61+G62+G63+G64+I66</f>
        <v>0</v>
      </c>
      <c r="M91" s="155"/>
      <c r="O91" s="125"/>
      <c r="P91" s="125"/>
      <c r="Q91" s="125"/>
      <c r="R91" s="125"/>
      <c r="S91" s="125"/>
      <c r="T91" s="125"/>
      <c r="U91" s="129"/>
      <c r="V91" s="91"/>
      <c r="W91" s="50"/>
      <c r="X91" s="91"/>
      <c r="Y91" s="92"/>
      <c r="Z91" s="91"/>
      <c r="AA91" s="92"/>
      <c r="AB91" s="91"/>
      <c r="AC91" s="92"/>
      <c r="AD91" s="91"/>
      <c r="AE91" s="92"/>
      <c r="AF91" s="91"/>
      <c r="AG91" s="92"/>
      <c r="AH91" s="91"/>
      <c r="AI91" s="92"/>
      <c r="AJ91" s="68"/>
      <c r="AK91" s="32"/>
      <c r="AL91" s="32"/>
      <c r="AM91" s="32"/>
      <c r="AN91" s="32"/>
    </row>
    <row r="92" spans="1:40" s="64" customFormat="1" ht="15.95" customHeight="1">
      <c r="A92" s="62" t="s">
        <v>159</v>
      </c>
      <c r="B92" s="64" t="s">
        <v>35</v>
      </c>
      <c r="C92" s="69"/>
      <c r="D92" s="69"/>
      <c r="E92" s="69"/>
      <c r="F92" s="69"/>
      <c r="G92" s="154"/>
      <c r="I92" s="153">
        <f>+IF(Ackerfläche&gt;0,I91/Ackerfläche,0)</f>
        <v>0</v>
      </c>
      <c r="M92" s="155"/>
      <c r="N92" s="148" t="str">
        <f>+IF(I92&gt;=1,"BFF auf Acker dürfen nicht mehr als 100% der AF betragen","")</f>
        <v/>
      </c>
      <c r="O92" s="125"/>
      <c r="P92" s="125"/>
      <c r="Q92" s="125"/>
      <c r="R92" s="125"/>
      <c r="S92" s="125"/>
      <c r="T92" s="125"/>
      <c r="U92" s="129"/>
      <c r="V92" s="91"/>
      <c r="W92" s="50"/>
      <c r="X92" s="91"/>
      <c r="Y92" s="92"/>
      <c r="Z92" s="91"/>
      <c r="AA92" s="92"/>
      <c r="AB92" s="91"/>
      <c r="AC92" s="92"/>
      <c r="AD92" s="91"/>
      <c r="AE92" s="92"/>
      <c r="AF92" s="91"/>
      <c r="AG92" s="92"/>
      <c r="AH92" s="91"/>
      <c r="AI92" s="92"/>
      <c r="AJ92" s="68"/>
      <c r="AK92" s="32"/>
      <c r="AL92" s="32"/>
      <c r="AM92" s="32"/>
      <c r="AN92" s="32"/>
    </row>
    <row r="93" spans="1:40" ht="5.45" customHeight="1">
      <c r="B93" s="121"/>
      <c r="C93" s="147"/>
      <c r="G93" s="64"/>
      <c r="H93" s="64"/>
      <c r="I93" s="64"/>
      <c r="L93" s="64"/>
      <c r="O93" s="125"/>
      <c r="P93" s="125"/>
      <c r="Q93" s="125"/>
      <c r="R93" s="125"/>
      <c r="S93" s="125"/>
      <c r="T93" s="125"/>
      <c r="U93" s="129"/>
    </row>
    <row r="94" spans="1:40" s="64" customFormat="1" ht="15.95" customHeight="1">
      <c r="A94" s="98">
        <v>5.18</v>
      </c>
      <c r="B94" s="511" t="s">
        <v>119</v>
      </c>
      <c r="C94" s="511"/>
      <c r="D94" s="511"/>
      <c r="E94" s="511"/>
      <c r="F94" s="511"/>
      <c r="G94" s="161">
        <f>+G58+G59+G60+G68+G69+G70</f>
        <v>0</v>
      </c>
      <c r="I94" s="110">
        <f>+SUM(I58:K60)+SUM(I68:K69)</f>
        <v>0</v>
      </c>
      <c r="M94" s="89"/>
      <c r="O94" s="125"/>
      <c r="P94" s="125"/>
      <c r="Q94" s="125"/>
      <c r="R94" s="125"/>
      <c r="S94" s="125"/>
      <c r="T94" s="125"/>
      <c r="U94" s="129"/>
      <c r="V94" s="91"/>
      <c r="W94" s="50"/>
      <c r="X94" s="91"/>
      <c r="Y94" s="92"/>
      <c r="Z94" s="91"/>
      <c r="AA94" s="92"/>
      <c r="AB94" s="91"/>
      <c r="AC94" s="92"/>
      <c r="AD94" s="91"/>
      <c r="AE94" s="92"/>
      <c r="AF94" s="91"/>
      <c r="AG94" s="92"/>
      <c r="AH94" s="91"/>
      <c r="AI94" s="92"/>
      <c r="AJ94" s="68"/>
      <c r="AK94" s="161"/>
      <c r="AL94" s="32"/>
      <c r="AM94" s="32"/>
      <c r="AN94" s="32"/>
    </row>
    <row r="95" spans="1:40" s="64" customFormat="1" ht="15.95" customHeight="1">
      <c r="A95" s="62" t="s">
        <v>155</v>
      </c>
      <c r="B95" s="64" t="s">
        <v>37</v>
      </c>
      <c r="C95" s="69"/>
      <c r="D95" s="69"/>
      <c r="E95" s="69"/>
      <c r="F95" s="69"/>
      <c r="G95" s="153">
        <f>+IF(DGL_Streue&gt;0,G94/DGL_Streue,0)</f>
        <v>0</v>
      </c>
      <c r="I95" s="153">
        <f>+IF(DGL_Streue&gt;0,I94/DGL_Streue,0)</f>
        <v>0</v>
      </c>
      <c r="M95" s="155"/>
      <c r="O95" s="125"/>
      <c r="P95" s="125"/>
      <c r="Q95" s="125"/>
      <c r="R95" s="125"/>
      <c r="S95" s="125"/>
      <c r="T95" s="125"/>
      <c r="U95" s="129"/>
      <c r="V95" s="91"/>
      <c r="W95" s="50">
        <f>+IF(DGL&lt;=3,0,IF(G95&gt;=0.09,,1))</f>
        <v>0</v>
      </c>
      <c r="X95" s="91"/>
      <c r="Y95" s="92"/>
      <c r="Z95" s="91"/>
      <c r="AA95" s="92"/>
      <c r="AB95" s="91"/>
      <c r="AC95" s="92"/>
      <c r="AD95" s="91"/>
      <c r="AE95" s="92"/>
      <c r="AF95" s="91"/>
      <c r="AG95" s="92"/>
      <c r="AH95" s="91"/>
      <c r="AI95" s="92"/>
      <c r="AJ95" s="68"/>
      <c r="AK95" s="32"/>
      <c r="AL95" s="32"/>
      <c r="AM95" s="32"/>
      <c r="AN95" s="32"/>
    </row>
    <row r="96" spans="1:40" ht="5.45" customHeight="1">
      <c r="A96" s="524"/>
      <c r="B96" s="524"/>
      <c r="C96" s="524"/>
      <c r="D96" s="524"/>
      <c r="E96" s="524"/>
      <c r="F96" s="524"/>
      <c r="G96" s="524"/>
      <c r="H96" s="524"/>
      <c r="I96" s="524"/>
      <c r="J96" s="524"/>
      <c r="K96" s="524"/>
      <c r="L96" s="524"/>
      <c r="M96" s="524"/>
      <c r="N96" s="524"/>
      <c r="O96" s="125"/>
      <c r="P96" s="125"/>
      <c r="Q96" s="125"/>
      <c r="R96" s="125"/>
      <c r="S96" s="125"/>
      <c r="T96" s="125"/>
      <c r="U96" s="129"/>
    </row>
    <row r="97" spans="1:40" s="64" customFormat="1" ht="15.95" customHeight="1">
      <c r="A97" s="98">
        <v>5.19</v>
      </c>
      <c r="B97" s="64" t="s">
        <v>194</v>
      </c>
      <c r="C97" s="69"/>
      <c r="D97" s="69"/>
      <c r="E97" s="69"/>
      <c r="F97" s="69"/>
      <c r="G97" s="154"/>
      <c r="I97" s="110">
        <f>I79</f>
        <v>0</v>
      </c>
      <c r="K97" s="156"/>
      <c r="M97" s="160"/>
      <c r="O97" s="162"/>
      <c r="P97" s="125"/>
      <c r="Q97" s="125"/>
      <c r="R97" s="125"/>
      <c r="S97" s="125"/>
      <c r="T97" s="125"/>
      <c r="U97" s="129"/>
      <c r="V97" s="91"/>
      <c r="W97" s="50"/>
      <c r="X97" s="91"/>
      <c r="Y97" s="92"/>
      <c r="Z97" s="91"/>
      <c r="AA97" s="92"/>
      <c r="AB97" s="91"/>
      <c r="AC97" s="92"/>
      <c r="AD97" s="91"/>
      <c r="AE97" s="92"/>
      <c r="AF97" s="91"/>
      <c r="AG97" s="92"/>
      <c r="AH97" s="91"/>
      <c r="AI97" s="92"/>
      <c r="AJ97" s="68"/>
      <c r="AK97" s="32"/>
      <c r="AL97" s="32"/>
      <c r="AM97" s="32"/>
      <c r="AN97" s="32"/>
    </row>
    <row r="98" spans="1:40" s="64" customFormat="1" ht="15.95" customHeight="1">
      <c r="A98" s="62" t="s">
        <v>156</v>
      </c>
      <c r="B98" s="64" t="s">
        <v>24</v>
      </c>
      <c r="C98" s="132"/>
      <c r="I98" s="153">
        <f>+I97/LN</f>
        <v>0</v>
      </c>
      <c r="M98" s="163">
        <f>+IF(I98&lt;X98,0,IF(I98&gt;AH98,AI98,1+(100*I98-2)))</f>
        <v>0</v>
      </c>
      <c r="O98" s="125"/>
      <c r="P98" s="144">
        <v>2</v>
      </c>
      <c r="Q98" s="157"/>
      <c r="R98" s="125" t="s">
        <v>198</v>
      </c>
      <c r="S98" s="125"/>
      <c r="T98" s="125" t="str">
        <f>+"&gt;"&amp;AH98*100</f>
        <v>&gt;7</v>
      </c>
      <c r="U98" s="129" t="s">
        <v>41</v>
      </c>
      <c r="V98" s="135"/>
      <c r="W98" s="136"/>
      <c r="X98" s="158">
        <v>0.02</v>
      </c>
      <c r="Y98" s="92">
        <v>1</v>
      </c>
      <c r="Z98" s="158"/>
      <c r="AA98" s="92" t="s">
        <v>199</v>
      </c>
      <c r="AB98" s="158"/>
      <c r="AC98" s="92"/>
      <c r="AD98" s="158"/>
      <c r="AE98" s="92"/>
      <c r="AF98" s="158"/>
      <c r="AG98" s="92"/>
      <c r="AH98" s="158">
        <v>7.0000000000000007E-2</v>
      </c>
      <c r="AI98" s="92">
        <v>6</v>
      </c>
      <c r="AJ98" s="68"/>
      <c r="AK98" s="32"/>
      <c r="AL98" s="32"/>
      <c r="AM98" s="32"/>
      <c r="AN98" s="32"/>
    </row>
    <row r="99" spans="1:40" ht="6" customHeight="1">
      <c r="A99" s="524"/>
      <c r="B99" s="524"/>
      <c r="C99" s="524"/>
      <c r="D99" s="524"/>
      <c r="E99" s="524"/>
      <c r="F99" s="524"/>
      <c r="G99" s="524"/>
      <c r="H99" s="524"/>
      <c r="I99" s="524"/>
      <c r="J99" s="524"/>
      <c r="K99" s="524"/>
      <c r="L99" s="524"/>
      <c r="M99" s="524"/>
      <c r="N99" s="524"/>
      <c r="O99" s="125"/>
      <c r="P99" s="125"/>
      <c r="Q99" s="125"/>
      <c r="R99" s="125"/>
      <c r="S99" s="125"/>
      <c r="T99" s="125"/>
      <c r="U99" s="126"/>
    </row>
    <row r="100" spans="1:40" s="64" customFormat="1" ht="15.95" customHeight="1">
      <c r="A100" s="62">
        <v>6.1</v>
      </c>
      <c r="B100" s="110">
        <f>+G79-B101-B102</f>
        <v>0</v>
      </c>
      <c r="C100" s="64" t="s">
        <v>120</v>
      </c>
      <c r="I100" s="154"/>
      <c r="M100" s="127"/>
      <c r="O100" s="125"/>
      <c r="P100" s="144"/>
      <c r="Q100" s="157"/>
      <c r="R100" s="125"/>
      <c r="S100" s="125"/>
      <c r="T100" s="125"/>
      <c r="U100" s="129"/>
      <c r="V100" s="135"/>
      <c r="W100" s="136"/>
      <c r="X100" s="158"/>
      <c r="Y100" s="92"/>
      <c r="Z100" s="158"/>
      <c r="AA100" s="92"/>
      <c r="AB100" s="158"/>
      <c r="AC100" s="92"/>
      <c r="AD100" s="158"/>
      <c r="AE100" s="92"/>
      <c r="AF100" s="158"/>
      <c r="AG100" s="92"/>
      <c r="AH100" s="91"/>
      <c r="AI100" s="92"/>
      <c r="AJ100" s="68"/>
      <c r="AK100" s="32"/>
      <c r="AL100" s="32"/>
      <c r="AM100" s="32"/>
      <c r="AN100" s="32"/>
    </row>
    <row r="101" spans="1:40" s="64" customFormat="1" ht="15.95" customHeight="1">
      <c r="A101" s="98" t="s">
        <v>57</v>
      </c>
      <c r="B101" s="164">
        <v>0</v>
      </c>
      <c r="C101" s="511" t="s">
        <v>177</v>
      </c>
      <c r="D101" s="511"/>
      <c r="E101" s="511"/>
      <c r="I101" s="154"/>
      <c r="M101" s="127"/>
      <c r="O101" s="125"/>
      <c r="P101" s="144"/>
      <c r="Q101" s="157"/>
      <c r="R101" s="125"/>
      <c r="S101" s="125"/>
      <c r="T101" s="125"/>
      <c r="U101" s="129"/>
      <c r="V101" s="135"/>
      <c r="W101" s="136"/>
      <c r="X101" s="158"/>
      <c r="Y101" s="165"/>
      <c r="Z101" s="158"/>
      <c r="AA101" s="92"/>
      <c r="AB101" s="158"/>
      <c r="AC101" s="92"/>
      <c r="AD101" s="158"/>
      <c r="AE101" s="92"/>
      <c r="AF101" s="158"/>
      <c r="AG101" s="92"/>
      <c r="AH101" s="91"/>
      <c r="AI101" s="92"/>
      <c r="AJ101" s="68"/>
      <c r="AK101" s="32"/>
      <c r="AL101" s="32"/>
      <c r="AM101" s="32"/>
      <c r="AN101" s="32"/>
    </row>
    <row r="102" spans="1:40" s="64" customFormat="1" ht="15.95" customHeight="1">
      <c r="A102" s="98" t="s">
        <v>58</v>
      </c>
      <c r="B102" s="88">
        <v>0</v>
      </c>
      <c r="C102" s="511" t="s">
        <v>178</v>
      </c>
      <c r="D102" s="511"/>
      <c r="E102" s="511"/>
      <c r="I102" s="154"/>
      <c r="M102" s="127"/>
      <c r="O102" s="125"/>
      <c r="P102" s="144"/>
      <c r="Q102" s="157"/>
      <c r="R102" s="125"/>
      <c r="S102" s="125"/>
      <c r="T102" s="125"/>
      <c r="U102" s="129"/>
      <c r="V102" s="135"/>
      <c r="W102" s="136"/>
      <c r="X102" s="158"/>
      <c r="Y102" s="92"/>
      <c r="Z102" s="158"/>
      <c r="AA102" s="92"/>
      <c r="AB102" s="158"/>
      <c r="AC102" s="92"/>
      <c r="AD102" s="158"/>
      <c r="AE102" s="92"/>
      <c r="AF102" s="158"/>
      <c r="AG102" s="92"/>
      <c r="AH102" s="91"/>
      <c r="AI102" s="92"/>
      <c r="AJ102" s="68"/>
      <c r="AK102" s="32"/>
      <c r="AL102" s="32"/>
      <c r="AM102" s="32"/>
      <c r="AN102" s="32"/>
    </row>
    <row r="103" spans="1:40" ht="6" customHeight="1">
      <c r="A103" s="524"/>
      <c r="B103" s="524"/>
      <c r="C103" s="524"/>
      <c r="D103" s="524"/>
      <c r="E103" s="524"/>
      <c r="F103" s="524"/>
      <c r="G103" s="524"/>
      <c r="H103" s="524"/>
      <c r="I103" s="524"/>
      <c r="J103" s="524"/>
      <c r="K103" s="524"/>
      <c r="L103" s="524"/>
      <c r="M103" s="524"/>
      <c r="N103" s="524"/>
      <c r="O103" s="125"/>
      <c r="P103" s="125"/>
      <c r="Q103" s="125"/>
      <c r="R103" s="125"/>
      <c r="S103" s="125"/>
      <c r="T103" s="125"/>
      <c r="U103" s="126"/>
    </row>
    <row r="104" spans="1:40" s="70" customFormat="1" ht="15.95" customHeight="1">
      <c r="A104" s="62">
        <v>7</v>
      </c>
      <c r="B104" s="512" t="s">
        <v>197</v>
      </c>
      <c r="C104" s="512"/>
      <c r="D104" s="512"/>
      <c r="E104" s="512"/>
      <c r="M104" s="166"/>
      <c r="O104" s="125"/>
      <c r="P104" s="125"/>
      <c r="Q104" s="125"/>
      <c r="R104" s="125"/>
      <c r="S104" s="125"/>
      <c r="T104" s="125"/>
      <c r="U104" s="129"/>
      <c r="V104" s="167"/>
      <c r="W104" s="167"/>
      <c r="X104" s="168"/>
      <c r="Y104" s="169"/>
      <c r="Z104" s="170"/>
      <c r="AA104" s="169"/>
      <c r="AB104" s="170"/>
      <c r="AC104" s="169"/>
      <c r="AD104" s="170"/>
      <c r="AE104" s="169"/>
      <c r="AF104" s="170"/>
      <c r="AG104" s="169"/>
      <c r="AH104" s="170"/>
      <c r="AI104" s="169"/>
      <c r="AJ104" s="171"/>
      <c r="AK104" s="172"/>
      <c r="AL104" s="172"/>
      <c r="AM104" s="172"/>
      <c r="AN104" s="172"/>
    </row>
    <row r="105" spans="1:40" ht="15.95" customHeight="1">
      <c r="A105" s="62">
        <v>7.1</v>
      </c>
      <c r="B105" s="139">
        <v>0</v>
      </c>
      <c r="C105" s="511" t="s">
        <v>195</v>
      </c>
      <c r="D105" s="511"/>
      <c r="E105" s="511"/>
      <c r="F105" s="511"/>
      <c r="G105" s="511"/>
      <c r="H105" s="511"/>
      <c r="I105" s="511"/>
      <c r="O105" s="125"/>
      <c r="P105" s="125"/>
      <c r="Q105" s="125"/>
      <c r="R105" s="125"/>
      <c r="S105" s="125"/>
      <c r="T105" s="125"/>
      <c r="U105" s="129"/>
    </row>
    <row r="106" spans="1:40" ht="15.95" customHeight="1">
      <c r="B106" s="132" t="s">
        <v>2</v>
      </c>
      <c r="C106" s="124">
        <f>+IF(Ackerfläche&gt;0,B105/Ackerfläche*20,0)</f>
        <v>0</v>
      </c>
      <c r="D106" s="64" t="s">
        <v>149</v>
      </c>
      <c r="F106" s="64"/>
      <c r="G106" s="64"/>
      <c r="H106" s="64"/>
      <c r="L106" s="64"/>
      <c r="O106" s="125"/>
      <c r="P106" s="125"/>
      <c r="Q106" s="125"/>
      <c r="R106" s="125"/>
      <c r="S106" s="125"/>
      <c r="T106" s="125"/>
      <c r="U106" s="129"/>
    </row>
    <row r="107" spans="1:40" ht="15.95" customHeight="1">
      <c r="B107" s="132" t="s">
        <v>2</v>
      </c>
      <c r="D107" s="64" t="str">
        <f>+"Teilpunkte auf Ackerfläche (=" &amp; +ROUND(Ackerfläche/LN*100,0) &amp;"% der LN)"</f>
        <v>Teilpunkte auf Ackerfläche (=0% der LN)</v>
      </c>
      <c r="F107" s="64"/>
      <c r="G107" s="64"/>
      <c r="H107" s="64"/>
      <c r="L107" s="64"/>
      <c r="M107" s="173">
        <f>+IF(C106&gt;AF107,AG107,IF(C106&gt;AD107,AE107,IF(C106&gt;AB107,AC107,IF(C106&gt;Z107,AA107,IF(C106&gt;=X107,Y107,0)))))</f>
        <v>0</v>
      </c>
      <c r="O107" s="125"/>
      <c r="P107" s="144" t="str">
        <f>+X107&amp;"–"&amp;Z107</f>
        <v>1–2</v>
      </c>
      <c r="Q107" s="157" t="str">
        <f>+"&gt;"&amp;Z107&amp;"–"&amp;AB107</f>
        <v>&gt;2–3</v>
      </c>
      <c r="R107" s="125" t="str">
        <f>+"&gt;"&amp;AB107&amp;"–"&amp;AD107</f>
        <v>&gt;3–4</v>
      </c>
      <c r="S107" s="125" t="str">
        <f>+"&gt;"&amp;AD107&amp;"–"&amp;AF107</f>
        <v>&gt;4–5</v>
      </c>
      <c r="T107" s="125" t="str">
        <f>+"&gt;"&amp;AF107</f>
        <v>&gt;5</v>
      </c>
      <c r="U107" s="129" t="s">
        <v>60</v>
      </c>
      <c r="V107" s="167"/>
      <c r="X107" s="51">
        <v>1</v>
      </c>
      <c r="Y107" s="52">
        <v>2</v>
      </c>
      <c r="Z107" s="51">
        <v>2</v>
      </c>
      <c r="AA107" s="52">
        <v>3</v>
      </c>
      <c r="AB107" s="51">
        <v>3</v>
      </c>
      <c r="AC107" s="52">
        <v>4</v>
      </c>
      <c r="AD107" s="51">
        <v>4</v>
      </c>
      <c r="AE107" s="52">
        <v>5</v>
      </c>
      <c r="AF107" s="51">
        <v>5</v>
      </c>
      <c r="AG107" s="92">
        <v>6</v>
      </c>
      <c r="AH107" s="91"/>
      <c r="AI107" s="92"/>
    </row>
    <row r="108" spans="1:40" ht="15.95" customHeight="1">
      <c r="B108" s="132" t="s">
        <v>2</v>
      </c>
      <c r="D108" s="69" t="s">
        <v>21</v>
      </c>
      <c r="M108" s="163">
        <f>+M107*Ackerfläche/LN</f>
        <v>0</v>
      </c>
      <c r="O108" s="125"/>
      <c r="P108" s="144"/>
      <c r="Q108" s="157"/>
      <c r="R108" s="125"/>
      <c r="S108" s="125"/>
      <c r="T108" s="125"/>
      <c r="U108" s="129"/>
      <c r="V108" s="167"/>
      <c r="AG108" s="92"/>
      <c r="AH108" s="91"/>
      <c r="AI108" s="92"/>
    </row>
    <row r="109" spans="1:40" ht="15.95" customHeight="1">
      <c r="A109" s="62">
        <v>7.2</v>
      </c>
      <c r="B109" s="139">
        <v>0</v>
      </c>
      <c r="C109" s="64" t="s">
        <v>196</v>
      </c>
      <c r="D109" s="64"/>
      <c r="E109" s="64"/>
      <c r="F109" s="64"/>
      <c r="G109" s="64"/>
      <c r="H109" s="64"/>
      <c r="I109" s="64"/>
      <c r="J109" s="96"/>
      <c r="K109" s="96"/>
      <c r="L109" s="96"/>
      <c r="M109" s="96"/>
      <c r="N109" s="96"/>
      <c r="O109" s="125"/>
      <c r="P109" s="125"/>
      <c r="Q109" s="125"/>
      <c r="R109" s="125"/>
      <c r="S109" s="125"/>
      <c r="T109" s="125"/>
      <c r="U109" s="129"/>
      <c r="V109" s="167"/>
    </row>
    <row r="110" spans="1:40" ht="15.95" customHeight="1">
      <c r="B110" s="132" t="s">
        <v>2</v>
      </c>
      <c r="C110" s="124">
        <f>+IF(DGL_Streue&gt;0,B109/DGL_Streue*20,0)</f>
        <v>0</v>
      </c>
      <c r="D110" s="511" t="s">
        <v>150</v>
      </c>
      <c r="E110" s="511"/>
      <c r="F110" s="511"/>
      <c r="G110" s="511"/>
      <c r="H110" s="511"/>
      <c r="I110" s="511"/>
      <c r="J110" s="511"/>
      <c r="K110" s="511"/>
      <c r="L110" s="511"/>
      <c r="M110" s="511"/>
      <c r="N110" s="511"/>
      <c r="O110" s="125"/>
      <c r="P110" s="125"/>
      <c r="Q110" s="125"/>
      <c r="R110" s="125"/>
      <c r="S110" s="125"/>
      <c r="T110" s="125"/>
      <c r="U110" s="129"/>
      <c r="V110" s="167"/>
    </row>
    <row r="111" spans="1:40" ht="15.95" customHeight="1">
      <c r="B111" s="132" t="s">
        <v>2</v>
      </c>
      <c r="D111" s="511" t="str">
        <f>+"Teilpunkte auf Dauergrünland  inkl. Streueflächen (=" &amp; +ROUND(DGL/LN*100,0) &amp;"% der LN)"</f>
        <v>Teilpunkte auf Dauergrünland  inkl. Streueflächen (=0% der LN)</v>
      </c>
      <c r="E111" s="511"/>
      <c r="F111" s="511"/>
      <c r="G111" s="511"/>
      <c r="H111" s="511"/>
      <c r="I111" s="511"/>
      <c r="J111" s="511"/>
      <c r="K111" s="511"/>
      <c r="L111" s="89"/>
      <c r="M111" s="174">
        <f>+IF(C110&gt;AF111,AG111,IF(C110&gt;AD111,AE111,IF(C110&gt;AB111,AC111,IF(C110&gt;Z111,AA111,IF(C110&gt;=X111,Y111,0)))))</f>
        <v>0</v>
      </c>
      <c r="O111" s="125"/>
      <c r="P111" s="144" t="str">
        <f>+X111&amp;"–"&amp;Z111</f>
        <v>2–3</v>
      </c>
      <c r="Q111" s="157" t="str">
        <f>+"&gt;"&amp;Z111&amp;"–"&amp;AB111</f>
        <v>&gt;3–4</v>
      </c>
      <c r="R111" s="125" t="str">
        <f>+"&gt;"&amp;AB111&amp;"–"&amp;AD111</f>
        <v>&gt;4–5</v>
      </c>
      <c r="S111" s="125" t="str">
        <f>+"&gt;"&amp;AD111&amp;"–"&amp;AF111</f>
        <v>&gt;5–6</v>
      </c>
      <c r="T111" s="125" t="str">
        <f>+"&gt;"&amp;AF111</f>
        <v>&gt;6</v>
      </c>
      <c r="U111" s="129" t="s">
        <v>60</v>
      </c>
      <c r="V111" s="167"/>
      <c r="X111" s="51">
        <v>2</v>
      </c>
      <c r="Y111" s="52">
        <v>2</v>
      </c>
      <c r="Z111" s="51">
        <v>3</v>
      </c>
      <c r="AA111" s="52">
        <v>3</v>
      </c>
      <c r="AB111" s="51">
        <v>4</v>
      </c>
      <c r="AC111" s="52">
        <v>4</v>
      </c>
      <c r="AD111" s="51">
        <v>5</v>
      </c>
      <c r="AE111" s="52">
        <v>5</v>
      </c>
      <c r="AF111" s="51">
        <v>6</v>
      </c>
      <c r="AG111" s="92">
        <v>6</v>
      </c>
      <c r="AH111" s="91"/>
      <c r="AI111" s="92"/>
    </row>
    <row r="112" spans="1:40" ht="15.95" customHeight="1">
      <c r="B112" s="132" t="s">
        <v>2</v>
      </c>
      <c r="D112" s="64" t="s">
        <v>21</v>
      </c>
      <c r="M112" s="163">
        <f>+M111*DGL_Streue/LN</f>
        <v>0</v>
      </c>
      <c r="O112" s="125"/>
      <c r="P112" s="125"/>
      <c r="Q112" s="157"/>
      <c r="R112" s="125"/>
      <c r="S112" s="125"/>
      <c r="T112" s="125"/>
      <c r="U112" s="129"/>
      <c r="V112" s="167">
        <v>3</v>
      </c>
    </row>
    <row r="113" spans="1:40" ht="6" customHeight="1">
      <c r="A113" s="524"/>
      <c r="B113" s="524"/>
      <c r="C113" s="524"/>
      <c r="D113" s="524"/>
      <c r="E113" s="524"/>
      <c r="F113" s="524"/>
      <c r="G113" s="524"/>
      <c r="H113" s="524"/>
      <c r="I113" s="524"/>
      <c r="J113" s="524"/>
      <c r="K113" s="524"/>
      <c r="L113" s="524"/>
      <c r="M113" s="524"/>
      <c r="N113" s="524"/>
      <c r="O113" s="125"/>
      <c r="P113" s="125"/>
      <c r="Q113" s="125"/>
      <c r="R113" s="125"/>
      <c r="S113" s="125"/>
      <c r="T113" s="125"/>
      <c r="U113" s="129"/>
    </row>
    <row r="114" spans="1:40" ht="15.95" customHeight="1">
      <c r="A114" s="62">
        <v>8</v>
      </c>
      <c r="B114" s="121" t="s">
        <v>123</v>
      </c>
      <c r="O114" s="125"/>
      <c r="P114" s="125"/>
      <c r="Q114" s="125"/>
      <c r="R114" s="125"/>
      <c r="S114" s="125"/>
      <c r="T114" s="125"/>
      <c r="U114" s="129"/>
    </row>
    <row r="115" spans="1:40" ht="15.95" customHeight="1">
      <c r="A115" s="98" t="s">
        <v>78</v>
      </c>
      <c r="B115" s="110">
        <f>+K76</f>
        <v>0</v>
      </c>
      <c r="C115" s="64" t="s">
        <v>148</v>
      </c>
      <c r="O115" s="125"/>
      <c r="P115" s="125"/>
      <c r="Q115" s="125"/>
      <c r="R115" s="125"/>
      <c r="S115" s="125"/>
      <c r="T115" s="125"/>
      <c r="U115" s="129"/>
    </row>
    <row r="116" spans="1:40" s="64" customFormat="1" ht="15.95" customHeight="1">
      <c r="A116" s="62"/>
      <c r="B116" s="132" t="s">
        <v>2</v>
      </c>
      <c r="C116" s="153">
        <f>+B115/LN</f>
        <v>0</v>
      </c>
      <c r="D116" s="64" t="s">
        <v>3</v>
      </c>
      <c r="M116" s="198">
        <f>+IF(C116&gt;AB116,AC116,IF(C116&gt;Z116,AA116,IF(C116&gt;=X116,Y116,0)))</f>
        <v>0</v>
      </c>
      <c r="O116" s="144" t="str">
        <f>+X116*100&amp;"–"&amp;Z116*100</f>
        <v>4–5</v>
      </c>
      <c r="P116" s="157" t="str">
        <f>+"&gt;"&amp;Z116*100&amp;"–"&amp;AB116*100</f>
        <v>&gt;5–7</v>
      </c>
      <c r="Q116" s="125" t="str">
        <f>+"&gt;"&amp;AB116*100</f>
        <v>&gt;7</v>
      </c>
      <c r="R116" s="125"/>
      <c r="S116" s="129"/>
      <c r="T116" s="125"/>
      <c r="U116" s="129" t="s">
        <v>59</v>
      </c>
      <c r="V116" s="135">
        <v>2</v>
      </c>
      <c r="W116" s="136"/>
      <c r="X116" s="158">
        <v>0.04</v>
      </c>
      <c r="Y116" s="92">
        <v>1</v>
      </c>
      <c r="Z116" s="158">
        <v>0.05</v>
      </c>
      <c r="AA116" s="92">
        <v>2</v>
      </c>
      <c r="AB116" s="158">
        <v>7.0000000000000007E-2</v>
      </c>
      <c r="AC116" s="92">
        <v>3</v>
      </c>
      <c r="AD116" s="158"/>
      <c r="AE116" s="92"/>
      <c r="AF116" s="91"/>
      <c r="AG116" s="92"/>
      <c r="AH116" s="91"/>
      <c r="AI116" s="92"/>
      <c r="AJ116" s="68"/>
      <c r="AK116" s="32"/>
      <c r="AL116" s="32"/>
      <c r="AM116" s="32"/>
      <c r="AN116" s="32"/>
    </row>
    <row r="117" spans="1:40" ht="6" customHeight="1">
      <c r="A117" s="524"/>
      <c r="B117" s="524"/>
      <c r="C117" s="524"/>
      <c r="D117" s="524"/>
      <c r="E117" s="524"/>
      <c r="F117" s="524"/>
      <c r="G117" s="524"/>
      <c r="H117" s="524"/>
      <c r="I117" s="524"/>
      <c r="J117" s="524"/>
      <c r="K117" s="524"/>
      <c r="L117" s="524"/>
      <c r="M117" s="524"/>
      <c r="N117" s="524"/>
      <c r="O117" s="125"/>
      <c r="P117" s="125"/>
      <c r="Q117" s="125"/>
      <c r="R117" s="125"/>
      <c r="S117" s="125"/>
      <c r="T117" s="125"/>
      <c r="U117" s="126"/>
    </row>
    <row r="118" spans="1:40" ht="15.95" customHeight="1">
      <c r="A118" s="62">
        <v>9</v>
      </c>
      <c r="B118" s="512" t="s">
        <v>151</v>
      </c>
      <c r="C118" s="512"/>
      <c r="D118" s="512"/>
      <c r="E118" s="512"/>
      <c r="F118" s="70"/>
      <c r="G118" s="70"/>
      <c r="H118" s="70"/>
      <c r="L118" s="70"/>
      <c r="O118" s="125"/>
      <c r="P118" s="125"/>
      <c r="Q118" s="125"/>
      <c r="R118" s="125"/>
      <c r="S118" s="125"/>
      <c r="T118" s="125"/>
      <c r="U118" s="129"/>
    </row>
    <row r="119" spans="1:40" ht="15.95" customHeight="1">
      <c r="A119" s="62">
        <v>9.1</v>
      </c>
      <c r="B119" s="139">
        <v>0</v>
      </c>
      <c r="C119" s="511" t="s">
        <v>124</v>
      </c>
      <c r="D119" s="511"/>
      <c r="E119" s="511"/>
      <c r="F119" s="511"/>
      <c r="G119" s="511"/>
      <c r="H119" s="511"/>
      <c r="I119" s="511"/>
      <c r="J119" s="511"/>
      <c r="K119" s="511"/>
      <c r="L119" s="511"/>
      <c r="M119" s="511"/>
      <c r="N119" s="511"/>
      <c r="O119" s="125"/>
      <c r="P119" s="125"/>
      <c r="Q119" s="125"/>
      <c r="R119" s="125"/>
      <c r="S119" s="125"/>
      <c r="T119" s="125"/>
      <c r="U119" s="129"/>
    </row>
    <row r="120" spans="1:40" ht="15.95" customHeight="1">
      <c r="B120" s="132" t="s">
        <v>2</v>
      </c>
      <c r="C120" s="124">
        <f>+IF(Ackerfläche&gt;0,B119/Ackerfläche*20,0)</f>
        <v>0</v>
      </c>
      <c r="D120" s="64" t="s">
        <v>179</v>
      </c>
      <c r="E120" s="70"/>
      <c r="F120" s="70"/>
      <c r="G120" s="70"/>
      <c r="H120" s="70"/>
      <c r="L120" s="70"/>
      <c r="O120" s="125"/>
      <c r="P120" s="125"/>
      <c r="Q120" s="125"/>
      <c r="R120" s="125"/>
      <c r="S120" s="125"/>
      <c r="T120" s="125"/>
      <c r="U120" s="129"/>
    </row>
    <row r="121" spans="1:40" s="64" customFormat="1" ht="15.95" customHeight="1">
      <c r="A121" s="62"/>
      <c r="B121" s="132" t="s">
        <v>2</v>
      </c>
      <c r="D121" s="64" t="str">
        <f>+"Teilpunkte auf Ackerfläche (=" &amp; +ROUND(Ackerfläche/LN*100,0) &amp;"% der LN)"</f>
        <v>Teilpunkte auf Ackerfläche (=0% der LN)</v>
      </c>
      <c r="M121" s="173">
        <f>+IF(C120&gt;AD121,AE121,IF(C120&gt;AB121,AC121,IF(C120&gt;Z121,AA121,IF(C120&gt;=X121,Y121,0))))</f>
        <v>0</v>
      </c>
      <c r="O121" s="125" t="str">
        <f>+X121&amp;"–"&amp;Z121</f>
        <v>1.5–3</v>
      </c>
      <c r="P121" s="157" t="str">
        <f>+"&gt;"&amp;Z121&amp;"–"&amp;AB121</f>
        <v>&gt;3–4.5</v>
      </c>
      <c r="Q121" s="125" t="str">
        <f>+"&gt;"&amp;AB121&amp;"–"&amp;AD121</f>
        <v>&gt;4.5–6</v>
      </c>
      <c r="R121" s="125" t="str">
        <f>+"&gt;"&amp;AD121</f>
        <v>&gt;6</v>
      </c>
      <c r="S121" s="125"/>
      <c r="T121" s="125"/>
      <c r="U121" s="129" t="s">
        <v>95</v>
      </c>
      <c r="V121" s="135">
        <v>3</v>
      </c>
      <c r="W121" s="136"/>
      <c r="X121" s="51">
        <v>1.5</v>
      </c>
      <c r="Y121" s="52">
        <v>1</v>
      </c>
      <c r="Z121" s="51">
        <v>3</v>
      </c>
      <c r="AA121" s="52">
        <v>2</v>
      </c>
      <c r="AB121" s="51">
        <v>4.5</v>
      </c>
      <c r="AC121" s="52">
        <v>3</v>
      </c>
      <c r="AD121" s="51">
        <v>6</v>
      </c>
      <c r="AE121" s="52">
        <v>4</v>
      </c>
      <c r="AF121" s="91"/>
      <c r="AG121" s="92"/>
      <c r="AH121" s="91"/>
      <c r="AI121" s="92"/>
      <c r="AJ121" s="73"/>
      <c r="AK121" s="32"/>
      <c r="AL121" s="32"/>
      <c r="AM121" s="32"/>
      <c r="AN121" s="32"/>
    </row>
    <row r="122" spans="1:40" ht="15.95" customHeight="1">
      <c r="B122" s="132" t="s">
        <v>2</v>
      </c>
      <c r="D122" s="64" t="s">
        <v>21</v>
      </c>
      <c r="M122" s="163">
        <f>+M121*Ackerfläche/LN</f>
        <v>0</v>
      </c>
      <c r="O122" s="125"/>
      <c r="P122" s="125"/>
      <c r="Q122" s="125"/>
      <c r="R122" s="125"/>
      <c r="S122" s="125"/>
      <c r="T122" s="125"/>
      <c r="U122" s="129"/>
    </row>
    <row r="123" spans="1:40" s="64" customFormat="1" ht="15.95" customHeight="1">
      <c r="A123" s="62">
        <v>9.1999999999999993</v>
      </c>
      <c r="B123" s="139">
        <v>0</v>
      </c>
      <c r="C123" s="511" t="s">
        <v>125</v>
      </c>
      <c r="D123" s="511"/>
      <c r="E123" s="511"/>
      <c r="F123" s="511"/>
      <c r="G123" s="511"/>
      <c r="H123" s="511"/>
      <c r="I123" s="511"/>
      <c r="J123" s="511"/>
      <c r="K123" s="511"/>
      <c r="L123" s="511"/>
      <c r="M123" s="511"/>
      <c r="N123" s="511"/>
      <c r="O123" s="125"/>
      <c r="P123" s="125"/>
      <c r="Q123" s="125"/>
      <c r="R123" s="125"/>
      <c r="S123" s="125"/>
      <c r="T123" s="125"/>
      <c r="U123" s="129"/>
      <c r="V123" s="176"/>
      <c r="W123" s="176"/>
      <c r="X123" s="91"/>
      <c r="Y123" s="92"/>
      <c r="Z123" s="91"/>
      <c r="AA123" s="92"/>
      <c r="AB123" s="91"/>
      <c r="AC123" s="92"/>
      <c r="AD123" s="91"/>
      <c r="AE123" s="92"/>
      <c r="AF123" s="91"/>
      <c r="AG123" s="92"/>
      <c r="AH123" s="91"/>
      <c r="AI123" s="92"/>
      <c r="AJ123" s="68"/>
      <c r="AK123" s="32"/>
      <c r="AL123" s="32"/>
      <c r="AM123" s="32"/>
      <c r="AN123" s="32"/>
    </row>
    <row r="124" spans="1:40" s="64" customFormat="1" ht="15.95" customHeight="1">
      <c r="A124" s="62"/>
      <c r="B124" s="132" t="s">
        <v>2</v>
      </c>
      <c r="C124" s="124">
        <f>+IF(DGL_Streue,B123/DGL_Streue*20,0)</f>
        <v>0</v>
      </c>
      <c r="D124" s="64" t="s">
        <v>126</v>
      </c>
      <c r="E124" s="121"/>
      <c r="F124" s="121"/>
      <c r="G124" s="121"/>
      <c r="H124" s="121"/>
      <c r="L124" s="121"/>
      <c r="M124" s="72"/>
      <c r="O124" s="125"/>
      <c r="P124" s="125"/>
      <c r="Q124" s="125"/>
      <c r="R124" s="125"/>
      <c r="S124" s="125"/>
      <c r="T124" s="125"/>
      <c r="U124" s="129"/>
      <c r="V124" s="176"/>
      <c r="W124" s="176"/>
      <c r="X124" s="91"/>
      <c r="Y124" s="92"/>
      <c r="Z124" s="91"/>
      <c r="AA124" s="92"/>
      <c r="AB124" s="91"/>
      <c r="AC124" s="92"/>
      <c r="AD124" s="91"/>
      <c r="AE124" s="92"/>
      <c r="AF124" s="91"/>
      <c r="AG124" s="92"/>
      <c r="AH124" s="91"/>
      <c r="AI124" s="92"/>
      <c r="AJ124" s="68"/>
      <c r="AK124" s="32"/>
      <c r="AL124" s="32"/>
      <c r="AM124" s="32"/>
      <c r="AN124" s="32"/>
    </row>
    <row r="125" spans="1:40" ht="15.95" customHeight="1">
      <c r="B125" s="132" t="s">
        <v>2</v>
      </c>
      <c r="D125" s="64" t="str">
        <f>+"Teilpunkte auf Dauergrünland oder Streueflächen (=" &amp; +ROUND(DGL/LN*100,0) &amp;"% der LN)  "</f>
        <v xml:space="preserve">Teilpunkte auf Dauergrünland oder Streueflächen (=0% der LN)  </v>
      </c>
      <c r="F125" s="64"/>
      <c r="G125" s="64"/>
      <c r="H125" s="64"/>
      <c r="L125" s="64"/>
      <c r="M125" s="173">
        <f>+IF(C124&gt;AD125,AE125,IF(C124&gt;AB125,AC125,IF(C124&gt;Z125,AA125,IF(C124&gt;=X125,Y125,0))))</f>
        <v>0</v>
      </c>
      <c r="O125" s="125" t="str">
        <f>+X125&amp;"–"&amp;Z125</f>
        <v>3–5</v>
      </c>
      <c r="P125" s="157" t="str">
        <f>+"&gt;"&amp;Z125&amp;"–"&amp;AB125</f>
        <v>&gt;5–7</v>
      </c>
      <c r="Q125" s="125" t="str">
        <f>+"&gt;"&amp;AB125&amp;"–"&amp;AD125</f>
        <v>&gt;7–9</v>
      </c>
      <c r="R125" s="125" t="str">
        <f>+"&gt;"&amp;AD125</f>
        <v>&gt;9</v>
      </c>
      <c r="S125" s="125"/>
      <c r="T125" s="125"/>
      <c r="U125" s="129" t="s">
        <v>95</v>
      </c>
      <c r="V125" s="135"/>
      <c r="W125" s="136"/>
      <c r="X125" s="51">
        <v>3</v>
      </c>
      <c r="Y125" s="52">
        <v>1</v>
      </c>
      <c r="Z125" s="51">
        <v>5</v>
      </c>
      <c r="AA125" s="52">
        <v>2</v>
      </c>
      <c r="AB125" s="51">
        <v>7</v>
      </c>
      <c r="AC125" s="52">
        <v>3</v>
      </c>
      <c r="AD125" s="51">
        <v>9</v>
      </c>
      <c r="AE125" s="52">
        <v>4</v>
      </c>
      <c r="AF125" s="91"/>
    </row>
    <row r="126" spans="1:40" ht="15.95" customHeight="1">
      <c r="B126" s="132" t="s">
        <v>2</v>
      </c>
      <c r="D126" s="64" t="s">
        <v>21</v>
      </c>
      <c r="M126" s="163">
        <f>+M125*DGL_Streue/LN</f>
        <v>0</v>
      </c>
      <c r="O126" s="125"/>
      <c r="P126" s="144"/>
      <c r="Q126" s="157"/>
      <c r="R126" s="125"/>
      <c r="S126" s="125"/>
      <c r="T126" s="125"/>
      <c r="U126" s="129"/>
      <c r="V126" s="167"/>
      <c r="X126" s="158"/>
      <c r="Z126" s="158"/>
      <c r="AB126" s="158"/>
    </row>
    <row r="127" spans="1:40" ht="6" customHeight="1">
      <c r="A127" s="524"/>
      <c r="B127" s="524"/>
      <c r="C127" s="524"/>
      <c r="D127" s="524"/>
      <c r="E127" s="524"/>
      <c r="F127" s="524"/>
      <c r="G127" s="524"/>
      <c r="H127" s="524"/>
      <c r="I127" s="524"/>
      <c r="J127" s="524"/>
      <c r="K127" s="524"/>
      <c r="L127" s="524"/>
      <c r="M127" s="524"/>
      <c r="N127" s="524"/>
      <c r="O127" s="125"/>
      <c r="P127" s="125"/>
      <c r="Q127" s="125"/>
      <c r="R127" s="125"/>
      <c r="S127" s="125"/>
      <c r="T127" s="125"/>
      <c r="U127" s="126"/>
    </row>
    <row r="128" spans="1:40" s="46" customFormat="1" ht="20.100000000000001" customHeight="1">
      <c r="A128" s="45" t="s">
        <v>127</v>
      </c>
      <c r="C128" s="45"/>
      <c r="K128" s="47"/>
      <c r="M128" s="48"/>
      <c r="N128" s="214">
        <f>+M126+M122+M116+M112+M108+M98+M84+M50+M41</f>
        <v>0</v>
      </c>
      <c r="O128" s="49"/>
      <c r="P128" s="49"/>
      <c r="Q128" s="49"/>
      <c r="R128" s="49"/>
      <c r="S128" s="49"/>
      <c r="T128" s="49"/>
      <c r="U128" s="49"/>
      <c r="V128" s="50"/>
      <c r="W128" s="50"/>
      <c r="X128" s="51"/>
      <c r="Y128" s="52"/>
      <c r="Z128" s="51"/>
      <c r="AA128" s="52"/>
      <c r="AB128" s="51"/>
      <c r="AC128" s="52"/>
      <c r="AD128" s="51"/>
      <c r="AE128" s="52"/>
      <c r="AF128" s="51"/>
      <c r="AG128" s="52"/>
      <c r="AH128" s="51"/>
      <c r="AI128" s="52"/>
      <c r="AJ128" s="53"/>
      <c r="AK128" s="54"/>
      <c r="AL128" s="54"/>
      <c r="AM128" s="54"/>
      <c r="AN128" s="54"/>
    </row>
    <row r="129" spans="1:40" s="46" customFormat="1" ht="20.100000000000001" customHeight="1">
      <c r="A129" s="45" t="s">
        <v>69</v>
      </c>
      <c r="C129" s="45"/>
      <c r="K129" s="47"/>
      <c r="M129" s="48"/>
      <c r="O129" s="49"/>
      <c r="P129" s="49"/>
      <c r="Q129" s="49"/>
      <c r="R129" s="49"/>
      <c r="S129" s="49"/>
      <c r="T129" s="49"/>
      <c r="U129" s="49"/>
      <c r="V129" s="50"/>
      <c r="W129" s="50"/>
      <c r="X129" s="51"/>
      <c r="Y129" s="52"/>
      <c r="Z129" s="51"/>
      <c r="AA129" s="52"/>
      <c r="AB129" s="51"/>
      <c r="AC129" s="52"/>
      <c r="AD129" s="51"/>
      <c r="AE129" s="52"/>
      <c r="AF129" s="51"/>
      <c r="AG129" s="52"/>
      <c r="AH129" s="51"/>
      <c r="AI129" s="52"/>
      <c r="AJ129" s="53"/>
      <c r="AK129" s="54"/>
      <c r="AL129" s="54"/>
      <c r="AM129" s="54"/>
      <c r="AN129" s="54"/>
    </row>
    <row r="130" spans="1:40" ht="6" customHeight="1">
      <c r="A130" s="524"/>
      <c r="B130" s="524"/>
      <c r="C130" s="524"/>
      <c r="D130" s="524"/>
      <c r="E130" s="524"/>
      <c r="F130" s="524"/>
      <c r="G130" s="524"/>
      <c r="H130" s="524"/>
      <c r="I130" s="524"/>
      <c r="J130" s="524"/>
      <c r="K130" s="524"/>
      <c r="L130" s="524"/>
      <c r="M130" s="524"/>
      <c r="N130" s="524"/>
      <c r="O130" s="125"/>
      <c r="P130" s="125"/>
      <c r="Q130" s="125"/>
      <c r="R130" s="125"/>
      <c r="S130" s="125"/>
      <c r="T130" s="125"/>
      <c r="U130" s="126"/>
    </row>
    <row r="131" spans="1:40" s="46" customFormat="1" ht="20.100000000000001" customHeight="1">
      <c r="A131" s="45" t="s">
        <v>30</v>
      </c>
      <c r="C131" s="45"/>
      <c r="K131" s="47"/>
      <c r="M131" s="48" t="s">
        <v>9</v>
      </c>
      <c r="N131" s="46" t="s">
        <v>71</v>
      </c>
      <c r="O131" s="49" t="s">
        <v>16</v>
      </c>
      <c r="P131" s="49" t="s">
        <v>10</v>
      </c>
      <c r="Q131" s="49" t="s">
        <v>17</v>
      </c>
      <c r="R131" s="49" t="s">
        <v>11</v>
      </c>
      <c r="S131" s="49"/>
      <c r="T131" s="49"/>
      <c r="U131" s="49" t="s">
        <v>15</v>
      </c>
      <c r="V131" s="50"/>
      <c r="W131" s="50"/>
      <c r="X131" s="51"/>
      <c r="Y131" s="52"/>
      <c r="Z131" s="51"/>
      <c r="AA131" s="52"/>
      <c r="AB131" s="51"/>
      <c r="AC131" s="52"/>
      <c r="AD131" s="51"/>
      <c r="AE131" s="52"/>
      <c r="AF131" s="51"/>
      <c r="AG131" s="52"/>
      <c r="AH131" s="51"/>
      <c r="AI131" s="52"/>
      <c r="AJ131" s="53"/>
      <c r="AK131" s="54"/>
      <c r="AL131" s="54"/>
      <c r="AM131" s="54"/>
      <c r="AN131" s="54"/>
    </row>
    <row r="132" spans="1:40" ht="6" customHeight="1">
      <c r="A132" s="524"/>
      <c r="B132" s="524"/>
      <c r="C132" s="524"/>
      <c r="D132" s="524"/>
      <c r="E132" s="524"/>
      <c r="F132" s="524"/>
      <c r="G132" s="524"/>
      <c r="H132" s="524"/>
      <c r="I132" s="524"/>
      <c r="J132" s="524"/>
      <c r="K132" s="524"/>
      <c r="L132" s="524"/>
      <c r="M132" s="524"/>
      <c r="N132" s="524"/>
      <c r="O132" s="125"/>
      <c r="P132" s="125"/>
      <c r="Q132" s="125"/>
      <c r="R132" s="125"/>
      <c r="S132" s="125"/>
      <c r="T132" s="125"/>
      <c r="U132" s="126"/>
    </row>
    <row r="133" spans="1:40" s="64" customFormat="1" ht="15.95" customHeight="1">
      <c r="A133" s="62">
        <v>10</v>
      </c>
      <c r="B133" s="121" t="s">
        <v>47</v>
      </c>
      <c r="E133" s="121"/>
      <c r="F133" s="121"/>
      <c r="G133" s="121"/>
      <c r="H133" s="121"/>
      <c r="L133" s="121"/>
      <c r="M133" s="179"/>
      <c r="O133" s="125"/>
      <c r="P133" s="125"/>
      <c r="Q133" s="125"/>
      <c r="R133" s="125"/>
      <c r="S133" s="125"/>
      <c r="T133" s="125"/>
      <c r="U133" s="129"/>
      <c r="V133" s="176"/>
      <c r="W133" s="176"/>
      <c r="X133" s="91"/>
      <c r="Y133" s="92"/>
      <c r="Z133" s="91"/>
      <c r="AA133" s="92"/>
      <c r="AB133" s="91"/>
      <c r="AC133" s="92"/>
      <c r="AD133" s="91"/>
      <c r="AE133" s="92"/>
      <c r="AF133" s="91"/>
      <c r="AG133" s="92"/>
      <c r="AH133" s="91"/>
      <c r="AI133" s="92"/>
      <c r="AJ133" s="68"/>
      <c r="AK133" s="32"/>
      <c r="AL133" s="32"/>
      <c r="AM133" s="32"/>
      <c r="AN133" s="32"/>
    </row>
    <row r="134" spans="1:40" s="64" customFormat="1" ht="15.95" customHeight="1">
      <c r="A134" s="62">
        <v>10.1</v>
      </c>
      <c r="B134" s="88">
        <v>0</v>
      </c>
      <c r="C134" s="511" t="s">
        <v>162</v>
      </c>
      <c r="D134" s="511"/>
      <c r="E134" s="511"/>
      <c r="F134" s="511"/>
      <c r="G134" s="511"/>
      <c r="H134" s="511"/>
      <c r="I134" s="511"/>
      <c r="J134" s="511"/>
      <c r="K134" s="511"/>
      <c r="L134" s="511"/>
      <c r="M134" s="180"/>
      <c r="O134" s="125"/>
      <c r="P134" s="125"/>
      <c r="Q134" s="125"/>
      <c r="R134" s="125"/>
      <c r="S134" s="125"/>
      <c r="T134" s="125"/>
      <c r="U134" s="129"/>
      <c r="V134" s="176"/>
      <c r="W134" s="176"/>
      <c r="X134" s="91"/>
      <c r="Y134" s="92"/>
      <c r="Z134" s="91"/>
      <c r="AA134" s="92"/>
      <c r="AB134" s="91"/>
      <c r="AC134" s="92"/>
      <c r="AD134" s="91"/>
      <c r="AE134" s="92"/>
      <c r="AF134" s="91"/>
      <c r="AG134" s="92"/>
      <c r="AH134" s="91"/>
      <c r="AI134" s="92"/>
      <c r="AJ134" s="68"/>
      <c r="AK134" s="32"/>
      <c r="AL134" s="32"/>
      <c r="AM134" s="32"/>
      <c r="AN134" s="32"/>
    </row>
    <row r="135" spans="1:40" s="64" customFormat="1" ht="15.95" customHeight="1">
      <c r="A135" s="62"/>
      <c r="B135" s="132" t="s">
        <v>2</v>
      </c>
      <c r="C135" s="153">
        <f>+IF(offene_Ackerfläche&gt;0,B134/offene_Ackerfläche,0)</f>
        <v>0</v>
      </c>
      <c r="D135" s="511" t="s">
        <v>42</v>
      </c>
      <c r="E135" s="511"/>
      <c r="F135" s="511"/>
      <c r="G135" s="511"/>
      <c r="H135" s="511"/>
      <c r="I135" s="511"/>
      <c r="J135" s="511"/>
      <c r="K135" s="511"/>
      <c r="L135" s="511"/>
      <c r="M135" s="175">
        <f>+IF(C135&gt;AD135,AE135,IF(C135&gt;AB135,AC135,IF(C135&gt;Z135,AA135,IF(C135&gt;=X135,Y135,0))))</f>
        <v>0</v>
      </c>
      <c r="O135" s="144" t="str">
        <f>+X135*100&amp;"–"&amp;Z135*100</f>
        <v>3–5</v>
      </c>
      <c r="P135" s="125" t="str">
        <f>+"&gt;"&amp;Z135*100&amp;"–"&amp;AB135*100</f>
        <v>&gt;5–10</v>
      </c>
      <c r="Q135" s="125" t="str">
        <f>+"&gt;"&amp;AB135*100&amp;"–"&amp;AD135*100</f>
        <v>&gt;10–20</v>
      </c>
      <c r="R135" s="125" t="str">
        <f>+"&gt;"&amp;AD135*100</f>
        <v>&gt;20</v>
      </c>
      <c r="S135" s="131"/>
      <c r="T135" s="125"/>
      <c r="U135" s="129" t="s">
        <v>41</v>
      </c>
      <c r="V135" s="181"/>
      <c r="W135" s="176"/>
      <c r="X135" s="182">
        <v>0.03</v>
      </c>
      <c r="Y135" s="92">
        <v>0.5</v>
      </c>
      <c r="Z135" s="182">
        <v>0.05</v>
      </c>
      <c r="AA135" s="92">
        <v>1</v>
      </c>
      <c r="AB135" s="182">
        <v>0.1</v>
      </c>
      <c r="AC135" s="92">
        <v>1.5</v>
      </c>
      <c r="AD135" s="182">
        <v>0.2</v>
      </c>
      <c r="AE135" s="92">
        <v>2</v>
      </c>
      <c r="AF135" s="182"/>
      <c r="AG135" s="92"/>
      <c r="AH135" s="182"/>
      <c r="AI135" s="92"/>
      <c r="AJ135" s="68"/>
      <c r="AK135" s="32"/>
      <c r="AL135" s="32"/>
      <c r="AM135" s="32"/>
      <c r="AN135" s="32"/>
    </row>
    <row r="136" spans="1:40" s="64" customFormat="1" ht="15.95" customHeight="1">
      <c r="A136" s="94" t="s">
        <v>190</v>
      </c>
      <c r="B136" s="88">
        <v>0</v>
      </c>
      <c r="C136" s="511" t="s">
        <v>142</v>
      </c>
      <c r="D136" s="511"/>
      <c r="E136" s="511"/>
      <c r="F136" s="511"/>
      <c r="G136" s="511"/>
      <c r="H136" s="121"/>
      <c r="L136" s="121"/>
      <c r="M136" s="175"/>
      <c r="N136" s="163"/>
      <c r="O136" s="144"/>
      <c r="P136" s="144"/>
      <c r="Q136" s="125"/>
      <c r="R136" s="125"/>
      <c r="S136" s="125"/>
      <c r="T136" s="125"/>
      <c r="U136" s="125"/>
      <c r="V136" s="181"/>
      <c r="W136" s="176"/>
      <c r="X136" s="158"/>
      <c r="Y136" s="92"/>
      <c r="Z136" s="158"/>
      <c r="AA136" s="183"/>
      <c r="AB136" s="158"/>
      <c r="AC136" s="183"/>
      <c r="AD136" s="158"/>
      <c r="AE136" s="183"/>
      <c r="AF136" s="91"/>
      <c r="AG136" s="92"/>
      <c r="AH136" s="91"/>
      <c r="AI136" s="92"/>
      <c r="AJ136" s="68"/>
      <c r="AK136" s="32"/>
      <c r="AL136" s="32"/>
      <c r="AM136" s="32"/>
      <c r="AN136" s="32"/>
    </row>
    <row r="137" spans="1:40" s="64" customFormat="1" ht="15.95" customHeight="1">
      <c r="A137" s="62"/>
      <c r="B137" s="132" t="s">
        <v>2</v>
      </c>
      <c r="C137" s="153">
        <f>+IF(offene_Ackerfläche&gt;0,B136/offene_Ackerfläche,0)</f>
        <v>0</v>
      </c>
      <c r="D137" s="64" t="s">
        <v>42</v>
      </c>
      <c r="M137" s="175">
        <f>+IF(C137&gt;AD137,AE137,IF(C137&gt;AB137,AC137,IF(C137&gt;Z137,AA137,IF(C137&gt;=X137,Y137,0))))</f>
        <v>0</v>
      </c>
      <c r="N137" s="163"/>
      <c r="O137" s="144" t="str">
        <f>+X137*100&amp;"–"&amp;Z137*100</f>
        <v>3–5</v>
      </c>
      <c r="P137" s="125" t="str">
        <f>+"&gt;"&amp;Z137*100&amp;"–"&amp;AB137*100</f>
        <v>&gt;5–10</v>
      </c>
      <c r="Q137" s="125" t="str">
        <f>+"&gt;"&amp;AB137*100&amp;"–"&amp;AD137*100</f>
        <v>&gt;10–20</v>
      </c>
      <c r="R137" s="125" t="str">
        <f>+"&gt;"&amp;AD137*100</f>
        <v>&gt;20</v>
      </c>
      <c r="S137" s="131"/>
      <c r="T137" s="125"/>
      <c r="U137" s="129" t="s">
        <v>41</v>
      </c>
      <c r="V137" s="181"/>
      <c r="W137" s="176"/>
      <c r="X137" s="158">
        <v>0.03</v>
      </c>
      <c r="Y137" s="92">
        <v>0.5</v>
      </c>
      <c r="Z137" s="158">
        <v>0.05</v>
      </c>
      <c r="AA137" s="183">
        <v>1</v>
      </c>
      <c r="AB137" s="158">
        <v>0.1</v>
      </c>
      <c r="AC137" s="183">
        <v>1.5</v>
      </c>
      <c r="AD137" s="158">
        <v>0.2</v>
      </c>
      <c r="AE137" s="183">
        <v>2</v>
      </c>
      <c r="AF137" s="91"/>
      <c r="AG137" s="92"/>
      <c r="AH137" s="91"/>
      <c r="AI137" s="92"/>
      <c r="AJ137" s="68"/>
      <c r="AK137" s="32"/>
      <c r="AL137" s="32"/>
      <c r="AM137" s="32"/>
      <c r="AN137" s="32"/>
    </row>
    <row r="138" spans="1:40" s="64" customFormat="1" ht="15.95" customHeight="1">
      <c r="A138" s="62">
        <v>10.199999999999999</v>
      </c>
      <c r="B138" s="88">
        <v>0</v>
      </c>
      <c r="C138" s="511" t="s">
        <v>39</v>
      </c>
      <c r="D138" s="511"/>
      <c r="E138" s="511"/>
      <c r="F138" s="511"/>
      <c r="G138" s="511"/>
      <c r="H138" s="511"/>
      <c r="I138" s="511"/>
      <c r="J138" s="511"/>
      <c r="K138" s="511"/>
      <c r="L138" s="511"/>
      <c r="M138" s="175"/>
      <c r="O138" s="184"/>
      <c r="P138" s="125"/>
      <c r="Q138" s="125"/>
      <c r="R138" s="125"/>
      <c r="S138" s="125"/>
      <c r="T138" s="125"/>
      <c r="U138" s="129"/>
      <c r="V138" s="181"/>
      <c r="W138" s="176"/>
      <c r="X138" s="182"/>
      <c r="Y138" s="92"/>
      <c r="Z138" s="182"/>
      <c r="AA138" s="92"/>
      <c r="AB138" s="182"/>
      <c r="AC138" s="92"/>
      <c r="AD138" s="182"/>
      <c r="AE138" s="92"/>
      <c r="AF138" s="91"/>
      <c r="AG138" s="92"/>
      <c r="AH138" s="91"/>
      <c r="AI138" s="92"/>
      <c r="AJ138" s="68"/>
      <c r="AK138" s="32"/>
      <c r="AL138" s="32"/>
      <c r="AM138" s="32"/>
      <c r="AN138" s="32"/>
    </row>
    <row r="139" spans="1:40" s="64" customFormat="1" ht="15.95" customHeight="1">
      <c r="A139" s="62"/>
      <c r="B139" s="132" t="s">
        <v>2</v>
      </c>
      <c r="C139" s="153">
        <f>+IF(offene_Ackerfläche&gt;0,B138/offene_Ackerfläche,0)</f>
        <v>0</v>
      </c>
      <c r="D139" s="511" t="s">
        <v>42</v>
      </c>
      <c r="E139" s="511"/>
      <c r="F139" s="511"/>
      <c r="G139" s="511"/>
      <c r="H139" s="511"/>
      <c r="I139" s="511"/>
      <c r="J139" s="511"/>
      <c r="K139" s="511"/>
      <c r="L139" s="511"/>
      <c r="M139" s="175">
        <f>+IF(C139&gt;AD139,AE139,IF(C139&gt;AB139,AC139,IF(C139&gt;Z139,AA139,IF(C139&gt;=X139,Y139,0))))</f>
        <v>0</v>
      </c>
      <c r="O139" s="144" t="str">
        <f>+X139*100&amp;"–"&amp;Z139*100</f>
        <v>3–5</v>
      </c>
      <c r="P139" s="125" t="str">
        <f>+"&gt;"&amp;Z139*100&amp;"–"&amp;AB139*100</f>
        <v>&gt;5–10</v>
      </c>
      <c r="Q139" s="125" t="str">
        <f>+"&gt;"&amp;AB139*100&amp;"–"&amp;AD139*100</f>
        <v>&gt;10–20</v>
      </c>
      <c r="R139" s="125" t="str">
        <f>+"&gt;"&amp;AD139*100</f>
        <v>&gt;20</v>
      </c>
      <c r="S139" s="131"/>
      <c r="T139" s="125"/>
      <c r="U139" s="129" t="s">
        <v>41</v>
      </c>
      <c r="V139" s="181"/>
      <c r="W139" s="176"/>
      <c r="X139" s="182">
        <v>0.03</v>
      </c>
      <c r="Y139" s="92">
        <v>0.5</v>
      </c>
      <c r="Z139" s="182">
        <v>0.05</v>
      </c>
      <c r="AA139" s="92">
        <v>1</v>
      </c>
      <c r="AB139" s="182">
        <v>0.1</v>
      </c>
      <c r="AC139" s="92">
        <v>1.5</v>
      </c>
      <c r="AD139" s="182">
        <v>0.2</v>
      </c>
      <c r="AE139" s="92">
        <v>2</v>
      </c>
      <c r="AF139" s="182"/>
      <c r="AG139" s="92"/>
      <c r="AH139" s="182"/>
      <c r="AI139" s="92"/>
      <c r="AJ139" s="68"/>
      <c r="AK139" s="32"/>
      <c r="AL139" s="32"/>
      <c r="AM139" s="32"/>
      <c r="AN139" s="32"/>
    </row>
    <row r="140" spans="1:40" s="64" customFormat="1" ht="15.95" customHeight="1">
      <c r="A140" s="62">
        <v>10.3</v>
      </c>
      <c r="B140" s="88">
        <v>0</v>
      </c>
      <c r="C140" s="511" t="s">
        <v>182</v>
      </c>
      <c r="D140" s="511"/>
      <c r="E140" s="511"/>
      <c r="F140" s="511"/>
      <c r="G140" s="511"/>
      <c r="H140" s="511"/>
      <c r="I140" s="511"/>
      <c r="J140" s="511"/>
      <c r="K140" s="511"/>
      <c r="L140" s="511"/>
      <c r="M140" s="175"/>
      <c r="O140" s="184"/>
      <c r="P140" s="125"/>
      <c r="Q140" s="125"/>
      <c r="R140" s="125"/>
      <c r="S140" s="125"/>
      <c r="T140" s="125"/>
      <c r="U140" s="129"/>
      <c r="V140" s="181"/>
      <c r="W140" s="176"/>
      <c r="X140" s="182"/>
      <c r="Y140" s="92"/>
      <c r="Z140" s="182"/>
      <c r="AA140" s="92"/>
      <c r="AB140" s="182"/>
      <c r="AC140" s="92"/>
      <c r="AD140" s="182"/>
      <c r="AE140" s="92"/>
      <c r="AF140" s="91"/>
      <c r="AG140" s="92"/>
      <c r="AH140" s="91"/>
      <c r="AI140" s="92"/>
      <c r="AJ140" s="68"/>
      <c r="AK140" s="32"/>
      <c r="AL140" s="32"/>
      <c r="AM140" s="32"/>
      <c r="AN140" s="32"/>
    </row>
    <row r="141" spans="1:40" s="64" customFormat="1" ht="15.95" customHeight="1">
      <c r="B141" s="132" t="s">
        <v>2</v>
      </c>
      <c r="C141" s="153">
        <f>+IF(offene_Ackerfläche&gt;0,B140/offene_Ackerfläche,0)</f>
        <v>0</v>
      </c>
      <c r="D141" s="511" t="s">
        <v>42</v>
      </c>
      <c r="E141" s="511"/>
      <c r="F141" s="511"/>
      <c r="G141" s="511"/>
      <c r="H141" s="511"/>
      <c r="I141" s="511"/>
      <c r="J141" s="511"/>
      <c r="K141" s="511"/>
      <c r="L141" s="511"/>
      <c r="M141" s="175">
        <f>+IF(C141&gt;AD141,AE141,IF(C141&gt;AB141,AC141,IF(C141&gt;Z141,AA141,IF(C141&gt;=X141,Y141,0))))</f>
        <v>0</v>
      </c>
      <c r="O141" s="144" t="str">
        <f>+X141*100&amp;"–"&amp;Z141*100</f>
        <v>10–15</v>
      </c>
      <c r="P141" s="125" t="str">
        <f>+"&gt;"&amp;Z141*100&amp;"–"&amp;AB141*100</f>
        <v>&gt;15–20</v>
      </c>
      <c r="Q141" s="125" t="str">
        <f>+"&gt;"&amp;AB141*100&amp;"–"&amp;AD141*100</f>
        <v>&gt;20–25</v>
      </c>
      <c r="R141" s="125" t="str">
        <f>+"&gt;"&amp;AD141*100</f>
        <v>&gt;25</v>
      </c>
      <c r="S141" s="125"/>
      <c r="T141" s="125"/>
      <c r="U141" s="129" t="s">
        <v>41</v>
      </c>
      <c r="V141" s="181"/>
      <c r="W141" s="176"/>
      <c r="X141" s="182">
        <v>0.1</v>
      </c>
      <c r="Y141" s="92">
        <v>0.5</v>
      </c>
      <c r="Z141" s="182">
        <v>0.15</v>
      </c>
      <c r="AA141" s="92">
        <v>1</v>
      </c>
      <c r="AB141" s="182">
        <v>0.2</v>
      </c>
      <c r="AC141" s="92">
        <v>1.5</v>
      </c>
      <c r="AD141" s="182">
        <v>0.25</v>
      </c>
      <c r="AE141" s="92">
        <v>2</v>
      </c>
      <c r="AF141" s="91"/>
      <c r="AG141" s="92"/>
      <c r="AH141" s="91"/>
      <c r="AI141" s="92"/>
      <c r="AJ141" s="68"/>
      <c r="AK141" s="32"/>
      <c r="AL141" s="32"/>
      <c r="AM141" s="32"/>
      <c r="AN141" s="32"/>
    </row>
    <row r="142" spans="1:40" s="64" customFormat="1" ht="15.95" customHeight="1">
      <c r="A142" s="62">
        <v>10.4</v>
      </c>
      <c r="B142" s="88">
        <v>0</v>
      </c>
      <c r="C142" s="511" t="s">
        <v>181</v>
      </c>
      <c r="D142" s="511"/>
      <c r="E142" s="511"/>
      <c r="F142" s="511"/>
      <c r="G142" s="511"/>
      <c r="H142" s="511"/>
      <c r="I142" s="511"/>
      <c r="J142" s="511"/>
      <c r="K142" s="511"/>
      <c r="L142" s="511"/>
      <c r="M142" s="175"/>
      <c r="O142" s="144"/>
      <c r="P142" s="125"/>
      <c r="Q142" s="125"/>
      <c r="R142" s="125"/>
      <c r="S142" s="125"/>
      <c r="T142" s="125"/>
      <c r="U142" s="129"/>
      <c r="V142" s="181"/>
      <c r="W142" s="176"/>
      <c r="X142" s="182"/>
      <c r="Y142" s="92"/>
      <c r="Z142" s="182"/>
      <c r="AA142" s="92"/>
      <c r="AB142" s="182"/>
      <c r="AC142" s="92"/>
      <c r="AD142" s="182"/>
      <c r="AE142" s="92"/>
      <c r="AF142" s="91"/>
      <c r="AG142" s="92"/>
      <c r="AH142" s="91"/>
      <c r="AI142" s="92"/>
      <c r="AJ142" s="68"/>
      <c r="AK142" s="32"/>
      <c r="AL142" s="32"/>
      <c r="AM142" s="32"/>
      <c r="AN142" s="32"/>
    </row>
    <row r="143" spans="1:40" s="64" customFormat="1" ht="15.95" customHeight="1">
      <c r="B143" s="132" t="s">
        <v>2</v>
      </c>
      <c r="C143" s="153">
        <f>+IF(offene_Ackerfläche&gt;0,B142/offene_Ackerfläche,0)</f>
        <v>0</v>
      </c>
      <c r="D143" s="511" t="s">
        <v>42</v>
      </c>
      <c r="E143" s="511"/>
      <c r="F143" s="511"/>
      <c r="G143" s="511"/>
      <c r="H143" s="511"/>
      <c r="I143" s="511"/>
      <c r="J143" s="511"/>
      <c r="K143" s="511"/>
      <c r="L143" s="511"/>
      <c r="M143" s="175">
        <f>+IF(C143&gt;AD143,AE143,IF(C143&gt;AB143,AC143,IF(C143&gt;Z143,AA143,IF(C143&gt;=X143,Y143,0))))</f>
        <v>0</v>
      </c>
      <c r="O143" s="144" t="str">
        <f>+X143*100&amp;"–"&amp;Z143*100</f>
        <v>10–15</v>
      </c>
      <c r="P143" s="125" t="str">
        <f>+"&gt;"&amp;Z143*100&amp;"–"&amp;AB143*100</f>
        <v>&gt;15–20</v>
      </c>
      <c r="Q143" s="125" t="str">
        <f>+"&gt;"&amp;AB143*100&amp;"–"&amp;AD143*100</f>
        <v>&gt;20–25</v>
      </c>
      <c r="R143" s="125" t="str">
        <f>+"&gt;"&amp;AD143*100</f>
        <v>&gt;25</v>
      </c>
      <c r="S143" s="125"/>
      <c r="T143" s="125"/>
      <c r="U143" s="129" t="s">
        <v>41</v>
      </c>
      <c r="V143" s="181"/>
      <c r="W143" s="176"/>
      <c r="X143" s="182">
        <v>0.1</v>
      </c>
      <c r="Y143" s="92">
        <v>0.5</v>
      </c>
      <c r="Z143" s="182">
        <v>0.15</v>
      </c>
      <c r="AA143" s="92">
        <v>1</v>
      </c>
      <c r="AB143" s="182">
        <v>0.2</v>
      </c>
      <c r="AC143" s="92">
        <v>1.5</v>
      </c>
      <c r="AD143" s="182">
        <v>0.25</v>
      </c>
      <c r="AE143" s="92">
        <v>2</v>
      </c>
      <c r="AF143" s="91"/>
      <c r="AG143" s="92"/>
      <c r="AH143" s="91"/>
      <c r="AI143" s="92"/>
      <c r="AJ143" s="68"/>
      <c r="AK143" s="32"/>
      <c r="AL143" s="32"/>
      <c r="AM143" s="32"/>
      <c r="AN143" s="32"/>
    </row>
    <row r="144" spans="1:40" s="64" customFormat="1" ht="15.95" customHeight="1">
      <c r="A144" s="62">
        <v>10.5</v>
      </c>
      <c r="B144" s="88">
        <v>0</v>
      </c>
      <c r="C144" s="511" t="s">
        <v>183</v>
      </c>
      <c r="D144" s="511"/>
      <c r="E144" s="511"/>
      <c r="F144" s="511"/>
      <c r="G144" s="511"/>
      <c r="H144" s="511"/>
      <c r="I144" s="511"/>
      <c r="J144" s="511"/>
      <c r="K144" s="511"/>
      <c r="L144" s="511"/>
      <c r="M144" s="175"/>
      <c r="O144" s="144"/>
      <c r="P144" s="125"/>
      <c r="Q144" s="125"/>
      <c r="R144" s="125"/>
      <c r="S144" s="125"/>
      <c r="T144" s="125"/>
      <c r="U144" s="129"/>
      <c r="V144" s="181"/>
      <c r="W144" s="176"/>
      <c r="X144" s="182"/>
      <c r="Y144" s="92"/>
      <c r="Z144" s="182"/>
      <c r="AA144" s="92"/>
      <c r="AB144" s="182"/>
      <c r="AC144" s="92"/>
      <c r="AD144" s="91"/>
      <c r="AE144" s="92"/>
      <c r="AF144" s="91"/>
      <c r="AG144" s="92"/>
      <c r="AH144" s="91"/>
      <c r="AI144" s="92"/>
      <c r="AJ144" s="68"/>
      <c r="AK144" s="32"/>
      <c r="AL144" s="32"/>
      <c r="AM144" s="32"/>
      <c r="AN144" s="32"/>
    </row>
    <row r="145" spans="1:40" s="64" customFormat="1" ht="15.95" customHeight="1">
      <c r="B145" s="132" t="s">
        <v>2</v>
      </c>
      <c r="C145" s="153">
        <f>+IF(offene_Ackerfläche&gt;0,B144/offene_Ackerfläche,0)</f>
        <v>0</v>
      </c>
      <c r="D145" s="511" t="s">
        <v>42</v>
      </c>
      <c r="E145" s="511"/>
      <c r="F145" s="511"/>
      <c r="G145" s="511"/>
      <c r="H145" s="511"/>
      <c r="I145" s="511"/>
      <c r="J145" s="511"/>
      <c r="K145" s="511"/>
      <c r="L145" s="511"/>
      <c r="M145" s="175">
        <f>+IF(C145&gt;AD145,AE145,IF(C145&gt;AB145,AC145,IF(C145&gt;Z145,AA145,IF(C145&gt;=X145,Y145,0))))</f>
        <v>0</v>
      </c>
      <c r="O145" s="144" t="str">
        <f>+X145*100&amp;"–"&amp;Z145*100</f>
        <v>10–15</v>
      </c>
      <c r="P145" s="125" t="str">
        <f>+"&gt;"&amp;Z145*100&amp;"–"&amp;AB145*100</f>
        <v>&gt;15–20</v>
      </c>
      <c r="Q145" s="125" t="str">
        <f>+"&gt;"&amp;AB145*100&amp;"–"&amp;AD145*100</f>
        <v>&gt;20–25</v>
      </c>
      <c r="R145" s="125" t="str">
        <f>+"&gt;"&amp;AD145*100</f>
        <v>&gt;25</v>
      </c>
      <c r="S145" s="125"/>
      <c r="T145" s="125"/>
      <c r="U145" s="129" t="s">
        <v>41</v>
      </c>
      <c r="V145" s="181"/>
      <c r="W145" s="176"/>
      <c r="X145" s="182">
        <v>0.1</v>
      </c>
      <c r="Y145" s="92">
        <v>0.5</v>
      </c>
      <c r="Z145" s="182">
        <v>0.15</v>
      </c>
      <c r="AA145" s="92">
        <v>1</v>
      </c>
      <c r="AB145" s="182">
        <v>0.2</v>
      </c>
      <c r="AC145" s="92">
        <v>1.5</v>
      </c>
      <c r="AD145" s="182">
        <v>0.25</v>
      </c>
      <c r="AE145" s="92">
        <v>2</v>
      </c>
      <c r="AF145" s="91"/>
      <c r="AG145" s="92"/>
      <c r="AH145" s="91"/>
      <c r="AI145" s="92"/>
      <c r="AJ145" s="68"/>
      <c r="AK145" s="32"/>
      <c r="AL145" s="32"/>
      <c r="AM145" s="32"/>
      <c r="AN145" s="32"/>
    </row>
    <row r="146" spans="1:40" s="64" customFormat="1" ht="15.95" customHeight="1">
      <c r="A146" s="62">
        <v>10.6</v>
      </c>
      <c r="B146" s="88">
        <v>0</v>
      </c>
      <c r="C146" s="511" t="s">
        <v>163</v>
      </c>
      <c r="D146" s="511"/>
      <c r="E146" s="511"/>
      <c r="F146" s="511"/>
      <c r="G146" s="511"/>
      <c r="H146" s="511"/>
      <c r="I146" s="511"/>
      <c r="J146" s="511"/>
      <c r="K146" s="511"/>
      <c r="L146" s="511"/>
      <c r="M146" s="127"/>
      <c r="O146" s="125"/>
      <c r="P146" s="144"/>
      <c r="Q146" s="125"/>
      <c r="R146" s="125"/>
      <c r="S146" s="125"/>
      <c r="T146" s="125"/>
      <c r="U146" s="129"/>
      <c r="V146" s="135"/>
      <c r="W146" s="136"/>
      <c r="X146" s="158"/>
      <c r="Y146" s="92"/>
      <c r="Z146" s="158"/>
      <c r="AA146" s="92"/>
      <c r="AB146" s="158"/>
      <c r="AC146" s="92"/>
      <c r="AD146" s="158"/>
      <c r="AE146" s="92"/>
      <c r="AF146" s="91"/>
      <c r="AG146" s="92"/>
      <c r="AH146" s="91"/>
      <c r="AI146" s="92"/>
      <c r="AJ146" s="68"/>
      <c r="AK146" s="32"/>
      <c r="AL146" s="32"/>
      <c r="AM146" s="32"/>
      <c r="AN146" s="32"/>
    </row>
    <row r="147" spans="1:40" s="64" customFormat="1" ht="15.95" customHeight="1">
      <c r="B147" s="132" t="s">
        <v>2</v>
      </c>
      <c r="C147" s="153">
        <f>+IF(offene_Ackerfläche&gt;0,B146/offene_Ackerfläche,0)</f>
        <v>0</v>
      </c>
      <c r="D147" s="511" t="s">
        <v>42</v>
      </c>
      <c r="E147" s="511"/>
      <c r="F147" s="511"/>
      <c r="G147" s="511"/>
      <c r="H147" s="511"/>
      <c r="I147" s="511"/>
      <c r="J147" s="511"/>
      <c r="K147" s="511"/>
      <c r="L147" s="511"/>
      <c r="M147" s="175">
        <f>+IF(C147&gt;AD147,AE147,IF(C147&gt;AB147,AC147,IF(C147&gt;Z147,AA147,IF(C147&gt;=X147,Y147,0))))</f>
        <v>0</v>
      </c>
      <c r="O147" s="144" t="str">
        <f>+X147*100&amp;"–"&amp;Z147*100</f>
        <v>1.5–2</v>
      </c>
      <c r="P147" s="125" t="str">
        <f>+"&gt;"&amp;Z147*100&amp;"–"&amp;AB147*100</f>
        <v>&gt;2–2.5</v>
      </c>
      <c r="Q147" s="125" t="str">
        <f>+"&gt;"&amp;AB147*100&amp;"–"&amp;AD147*100</f>
        <v>&gt;2.5–3</v>
      </c>
      <c r="R147" s="125" t="str">
        <f>+"&gt;"&amp;AD147*100</f>
        <v>&gt;3</v>
      </c>
      <c r="S147" s="125"/>
      <c r="T147" s="125"/>
      <c r="U147" s="129" t="s">
        <v>41</v>
      </c>
      <c r="V147" s="181"/>
      <c r="W147" s="185"/>
      <c r="X147" s="158">
        <v>1.4999999999999999E-2</v>
      </c>
      <c r="Y147" s="92">
        <v>0.5</v>
      </c>
      <c r="Z147" s="158">
        <v>0.02</v>
      </c>
      <c r="AA147" s="183">
        <v>1</v>
      </c>
      <c r="AB147" s="158">
        <v>2.5000000000000001E-2</v>
      </c>
      <c r="AC147" s="183">
        <v>1.5</v>
      </c>
      <c r="AD147" s="158">
        <v>0.03</v>
      </c>
      <c r="AE147" s="183">
        <v>2</v>
      </c>
      <c r="AF147" s="186"/>
      <c r="AG147" s="183"/>
      <c r="AH147" s="186"/>
      <c r="AI147" s="183"/>
      <c r="AJ147" s="68"/>
      <c r="AK147" s="32"/>
      <c r="AL147" s="32"/>
      <c r="AM147" s="32"/>
      <c r="AN147" s="32"/>
    </row>
    <row r="148" spans="1:40" s="64" customFormat="1" ht="15.95" customHeight="1">
      <c r="A148" s="62">
        <v>10.7</v>
      </c>
      <c r="B148" s="88">
        <v>0</v>
      </c>
      <c r="C148" s="511" t="s">
        <v>407</v>
      </c>
      <c r="D148" s="511"/>
      <c r="E148" s="511"/>
      <c r="F148" s="511"/>
      <c r="G148" s="511"/>
      <c r="H148" s="511"/>
      <c r="I148" s="511"/>
      <c r="J148" s="511"/>
      <c r="K148" s="511"/>
      <c r="L148" s="511"/>
      <c r="O148" s="144"/>
      <c r="P148" s="125"/>
      <c r="Q148" s="125"/>
      <c r="R148" s="125"/>
      <c r="S148" s="125"/>
      <c r="T148" s="125"/>
      <c r="U148" s="129"/>
      <c r="V148" s="181"/>
      <c r="W148" s="185"/>
      <c r="X148" s="158"/>
      <c r="Y148" s="92"/>
      <c r="Z148" s="158"/>
      <c r="AA148" s="183"/>
      <c r="AB148" s="158"/>
      <c r="AC148" s="183"/>
      <c r="AD148" s="186"/>
      <c r="AE148" s="183"/>
      <c r="AF148" s="186"/>
      <c r="AG148" s="183"/>
      <c r="AH148" s="186"/>
      <c r="AI148" s="183"/>
      <c r="AJ148" s="68"/>
      <c r="AK148" s="32"/>
      <c r="AL148" s="32"/>
      <c r="AM148" s="32"/>
      <c r="AN148" s="32"/>
    </row>
    <row r="149" spans="1:40" s="64" customFormat="1" ht="15.95" customHeight="1">
      <c r="A149" s="62"/>
      <c r="B149" s="132" t="s">
        <v>2</v>
      </c>
      <c r="C149" s="153">
        <f>+IF(offene_Ackerfläche&gt;0,B148/offene_Ackerfläche,0)</f>
        <v>0</v>
      </c>
      <c r="D149" s="511" t="s">
        <v>42</v>
      </c>
      <c r="E149" s="511"/>
      <c r="F149" s="511"/>
      <c r="G149" s="511"/>
      <c r="H149" s="511"/>
      <c r="I149" s="511"/>
      <c r="J149" s="511"/>
      <c r="K149" s="511"/>
      <c r="L149" s="511"/>
      <c r="M149" s="175">
        <f>+IF(C149&gt;AD149,AE149,IF(C149&gt;AB149,AC149,IF(C149&gt;Z149,AA149,IF(C149&gt;=X149,Y149,0))))</f>
        <v>0</v>
      </c>
      <c r="O149" s="144" t="str">
        <f>+X149*100&amp;"–"&amp;Z149*100</f>
        <v>5–15</v>
      </c>
      <c r="P149" s="125" t="str">
        <f>+"&gt;"&amp;Z149*100&amp;"–"&amp;AB149*100</f>
        <v>&gt;15–25</v>
      </c>
      <c r="Q149" s="125" t="str">
        <f>+"&gt;"&amp;AB149*100&amp;"–"&amp;AD149*100</f>
        <v>&gt;25–35</v>
      </c>
      <c r="R149" s="125" t="str">
        <f>+"&gt;"&amp;AD149*100</f>
        <v>&gt;35</v>
      </c>
      <c r="S149" s="125"/>
      <c r="T149" s="125"/>
      <c r="U149" s="129" t="s">
        <v>41</v>
      </c>
      <c r="V149" s="181"/>
      <c r="W149" s="185"/>
      <c r="X149" s="158">
        <v>0.05</v>
      </c>
      <c r="Y149" s="92">
        <v>0.5</v>
      </c>
      <c r="Z149" s="158">
        <v>0.15</v>
      </c>
      <c r="AA149" s="183">
        <v>1</v>
      </c>
      <c r="AB149" s="158">
        <v>0.25</v>
      </c>
      <c r="AC149" s="183">
        <v>1.5</v>
      </c>
      <c r="AD149" s="158">
        <v>0.35</v>
      </c>
      <c r="AE149" s="183">
        <v>2</v>
      </c>
      <c r="AF149" s="158"/>
      <c r="AG149" s="183"/>
      <c r="AH149" s="186"/>
      <c r="AI149" s="183"/>
      <c r="AJ149" s="68"/>
      <c r="AK149" s="32"/>
      <c r="AL149" s="32"/>
      <c r="AM149" s="32"/>
      <c r="AN149" s="32"/>
    </row>
    <row r="150" spans="1:40" s="64" customFormat="1" ht="15.95" customHeight="1">
      <c r="A150" s="94" t="s">
        <v>200</v>
      </c>
      <c r="B150" s="88">
        <v>0</v>
      </c>
      <c r="C150" s="511" t="s">
        <v>409</v>
      </c>
      <c r="D150" s="511"/>
      <c r="E150" s="511"/>
      <c r="F150" s="511"/>
      <c r="G150" s="511"/>
      <c r="H150" s="511"/>
      <c r="I150" s="511"/>
      <c r="J150" s="511"/>
      <c r="K150" s="511"/>
      <c r="L150" s="511"/>
      <c r="O150" s="144"/>
      <c r="P150" s="125"/>
      <c r="Q150" s="125"/>
      <c r="R150" s="125"/>
      <c r="S150" s="125"/>
      <c r="T150" s="125"/>
      <c r="U150" s="129"/>
      <c r="V150" s="181"/>
      <c r="W150" s="185"/>
      <c r="X150" s="158"/>
      <c r="Y150" s="92"/>
      <c r="Z150" s="158"/>
      <c r="AA150" s="183"/>
      <c r="AB150" s="158"/>
      <c r="AC150" s="183"/>
      <c r="AD150" s="186"/>
      <c r="AE150" s="183"/>
      <c r="AF150" s="186"/>
      <c r="AG150" s="183"/>
      <c r="AH150" s="186"/>
      <c r="AI150" s="183"/>
      <c r="AJ150" s="68"/>
      <c r="AK150" s="32"/>
      <c r="AL150" s="32"/>
      <c r="AM150" s="32"/>
      <c r="AN150" s="32"/>
    </row>
    <row r="151" spans="1:40" s="64" customFormat="1" ht="15.95" customHeight="1">
      <c r="A151" s="62"/>
      <c r="B151" s="132" t="s">
        <v>2</v>
      </c>
      <c r="C151" s="153">
        <f>+IF(offene_Ackerfläche&gt;0,B150/offene_Ackerfläche,0)</f>
        <v>0</v>
      </c>
      <c r="D151" s="511" t="s">
        <v>42</v>
      </c>
      <c r="E151" s="511"/>
      <c r="F151" s="511"/>
      <c r="G151" s="511"/>
      <c r="H151" s="511"/>
      <c r="I151" s="511"/>
      <c r="J151" s="511"/>
      <c r="K151" s="511"/>
      <c r="L151" s="511"/>
      <c r="M151" s="175">
        <f>+IF(C151&gt;AD151,AE151,IF(C151&gt;AB151,AC151,IF(C151&gt;Z151,AA151,IF(C151&gt;=X151,Y151,0))))</f>
        <v>0</v>
      </c>
      <c r="O151" s="144" t="str">
        <f>+X151*100&amp;"–"&amp;Z151*100</f>
        <v>3.5–5</v>
      </c>
      <c r="P151" s="125" t="str">
        <f>+"&gt;"&amp;Z151*100&amp;"–"&amp;AB151*100</f>
        <v>&gt;5–10</v>
      </c>
      <c r="Q151" s="125" t="str">
        <f>+"&gt;"&amp;AB151*100&amp;"–"&amp;AD151*100</f>
        <v>&gt;10–20</v>
      </c>
      <c r="R151" s="125" t="str">
        <f>+"&gt;"&amp;AD151*100</f>
        <v>&gt;20</v>
      </c>
      <c r="S151" s="125"/>
      <c r="T151" s="125"/>
      <c r="U151" s="129" t="s">
        <v>41</v>
      </c>
      <c r="V151" s="181"/>
      <c r="W151" s="185"/>
      <c r="X151" s="158">
        <v>3.5000000000000003E-2</v>
      </c>
      <c r="Y151" s="92">
        <v>0.5</v>
      </c>
      <c r="Z151" s="158">
        <v>0.05</v>
      </c>
      <c r="AA151" s="183">
        <v>1</v>
      </c>
      <c r="AB151" s="158">
        <v>0.1</v>
      </c>
      <c r="AC151" s="183">
        <v>1.5</v>
      </c>
      <c r="AD151" s="158">
        <v>0.2</v>
      </c>
      <c r="AE151" s="183">
        <v>2</v>
      </c>
      <c r="AF151" s="158"/>
      <c r="AG151" s="183"/>
      <c r="AH151" s="186"/>
      <c r="AI151" s="183"/>
      <c r="AJ151" s="68"/>
      <c r="AK151" s="32"/>
      <c r="AL151" s="32"/>
      <c r="AM151" s="32"/>
      <c r="AN151" s="32"/>
    </row>
    <row r="152" spans="1:40" s="64" customFormat="1" ht="15.95" customHeight="1">
      <c r="A152" s="98" t="s">
        <v>65</v>
      </c>
      <c r="B152" s="88">
        <v>0</v>
      </c>
      <c r="C152" s="511" t="s">
        <v>184</v>
      </c>
      <c r="D152" s="511"/>
      <c r="E152" s="511"/>
      <c r="F152" s="511"/>
      <c r="G152" s="511"/>
      <c r="H152" s="511"/>
      <c r="I152" s="511"/>
      <c r="J152" s="511"/>
      <c r="K152" s="511"/>
      <c r="L152" s="511"/>
      <c r="M152" s="175"/>
      <c r="O152" s="144"/>
      <c r="P152" s="125"/>
      <c r="Q152" s="125"/>
      <c r="R152" s="125"/>
      <c r="S152" s="125"/>
      <c r="T152" s="125"/>
      <c r="U152" s="129"/>
      <c r="V152" s="181"/>
      <c r="W152" s="185"/>
      <c r="X152" s="158"/>
      <c r="Y152" s="92"/>
      <c r="Z152" s="158"/>
      <c r="AA152" s="183"/>
      <c r="AB152" s="158"/>
      <c r="AC152" s="183"/>
      <c r="AD152" s="186"/>
      <c r="AE152" s="183"/>
      <c r="AF152" s="186"/>
      <c r="AG152" s="183"/>
      <c r="AH152" s="186"/>
      <c r="AI152" s="183"/>
      <c r="AJ152" s="68"/>
      <c r="AK152" s="32"/>
      <c r="AL152" s="32"/>
      <c r="AM152" s="32"/>
      <c r="AN152" s="32"/>
    </row>
    <row r="153" spans="1:40" s="64" customFormat="1" ht="15.95" customHeight="1">
      <c r="A153" s="62"/>
      <c r="B153" s="132" t="s">
        <v>2</v>
      </c>
      <c r="C153" s="153">
        <f>+IF(B152&gt;0,B152/offene_Ackerfläche,0)</f>
        <v>0</v>
      </c>
      <c r="D153" s="64" t="s">
        <v>42</v>
      </c>
      <c r="M153" s="175">
        <f>+IF(C153&gt;AD153,AE153,IF(C153&gt;AB153,AC153,IF(C153&gt;Z153,AA153,IF(C153&gt;=X153,Y153,0))))</f>
        <v>0</v>
      </c>
      <c r="O153" s="144" t="str">
        <f>+X153*100&amp;"–"&amp;Z153*100</f>
        <v>5–10</v>
      </c>
      <c r="P153" s="125" t="str">
        <f>+"&gt;"&amp;Z153*100&amp;"–"&amp;AB153*100</f>
        <v>&gt;10–30</v>
      </c>
      <c r="Q153" s="125" t="str">
        <f>+"&gt;"&amp;AB153*100&amp;"–"&amp;AD153*100</f>
        <v>&gt;30–60</v>
      </c>
      <c r="R153" s="125" t="str">
        <f>+"&gt;"&amp;AD153*100</f>
        <v>&gt;60</v>
      </c>
      <c r="S153" s="125"/>
      <c r="T153" s="125"/>
      <c r="U153" s="129" t="s">
        <v>41</v>
      </c>
      <c r="V153" s="181"/>
      <c r="W153" s="176"/>
      <c r="X153" s="158">
        <v>0.05</v>
      </c>
      <c r="Y153" s="92">
        <v>0.5</v>
      </c>
      <c r="Z153" s="158">
        <v>0.1</v>
      </c>
      <c r="AA153" s="183">
        <v>1</v>
      </c>
      <c r="AB153" s="158">
        <v>0.3</v>
      </c>
      <c r="AC153" s="183">
        <v>1.5</v>
      </c>
      <c r="AD153" s="158">
        <v>0.6</v>
      </c>
      <c r="AE153" s="183">
        <v>2</v>
      </c>
      <c r="AF153" s="91"/>
      <c r="AG153" s="92"/>
      <c r="AH153" s="91"/>
      <c r="AI153" s="92"/>
      <c r="AJ153" s="68"/>
      <c r="AK153" s="32"/>
      <c r="AL153" s="32"/>
      <c r="AM153" s="32"/>
      <c r="AN153" s="32"/>
    </row>
    <row r="154" spans="1:40" s="64" customFormat="1" ht="15.75" hidden="1" customHeight="1">
      <c r="A154" s="62"/>
      <c r="B154" s="153" t="s">
        <v>403</v>
      </c>
      <c r="C154" s="153"/>
      <c r="M154" s="175"/>
      <c r="O154" s="144"/>
      <c r="P154" s="125"/>
      <c r="Q154" s="125"/>
      <c r="R154" s="125"/>
      <c r="S154" s="125"/>
      <c r="T154" s="125"/>
      <c r="U154" s="129"/>
      <c r="V154" s="181"/>
      <c r="W154" s="176"/>
      <c r="X154" s="158"/>
      <c r="Y154" s="92"/>
      <c r="Z154" s="158"/>
      <c r="AA154" s="183"/>
      <c r="AB154" s="158"/>
      <c r="AC154" s="183"/>
      <c r="AD154" s="158"/>
      <c r="AE154" s="183"/>
      <c r="AF154" s="91"/>
      <c r="AG154" s="92"/>
      <c r="AH154" s="91"/>
      <c r="AI154" s="92"/>
      <c r="AJ154" s="68"/>
      <c r="AK154" s="32"/>
      <c r="AL154" s="32"/>
      <c r="AM154" s="32"/>
      <c r="AN154" s="32"/>
    </row>
    <row r="155" spans="1:40" s="64" customFormat="1" ht="15.75" hidden="1" customHeight="1">
      <c r="A155" s="62"/>
      <c r="B155" s="132"/>
      <c r="C155" s="153"/>
      <c r="M155" s="175"/>
      <c r="O155" s="144"/>
      <c r="P155" s="125"/>
      <c r="Q155" s="125"/>
      <c r="R155" s="125"/>
      <c r="S155" s="125"/>
      <c r="T155" s="125"/>
      <c r="U155" s="129"/>
      <c r="V155" s="181"/>
      <c r="W155" s="176"/>
      <c r="X155" s="158"/>
      <c r="Y155" s="92"/>
      <c r="Z155" s="158"/>
      <c r="AA155" s="183"/>
      <c r="AB155" s="158"/>
      <c r="AC155" s="183"/>
      <c r="AD155" s="158"/>
      <c r="AE155" s="183"/>
      <c r="AF155" s="91"/>
      <c r="AG155" s="92"/>
      <c r="AH155" s="91"/>
      <c r="AI155" s="92"/>
      <c r="AJ155" s="68"/>
      <c r="AK155" s="32"/>
      <c r="AL155" s="32"/>
      <c r="AM155" s="32"/>
      <c r="AN155" s="32"/>
    </row>
    <row r="156" spans="1:40" ht="6" customHeight="1">
      <c r="A156" s="524"/>
      <c r="B156" s="524"/>
      <c r="C156" s="524"/>
      <c r="D156" s="524"/>
      <c r="E156" s="524"/>
      <c r="F156" s="524"/>
      <c r="G156" s="524"/>
      <c r="H156" s="524"/>
      <c r="I156" s="524"/>
      <c r="J156" s="524"/>
      <c r="K156" s="524"/>
      <c r="L156" s="524"/>
      <c r="M156" s="524"/>
      <c r="N156" s="524"/>
      <c r="O156" s="125"/>
      <c r="P156" s="125"/>
      <c r="Q156" s="125"/>
      <c r="R156" s="125"/>
      <c r="S156" s="125"/>
      <c r="T156" s="125"/>
      <c r="U156" s="126"/>
      <c r="V156" s="181"/>
    </row>
    <row r="157" spans="1:40" s="64" customFormat="1" ht="15.95" customHeight="1">
      <c r="A157" s="62"/>
      <c r="B157" s="121" t="s">
        <v>180</v>
      </c>
      <c r="C157" s="132"/>
      <c r="D157" s="154"/>
      <c r="M157" s="175">
        <f>SUM(M131:M156)</f>
        <v>0</v>
      </c>
      <c r="O157" s="144"/>
      <c r="P157" s="125"/>
      <c r="Q157" s="125"/>
      <c r="R157" s="125"/>
      <c r="S157" s="125"/>
      <c r="T157" s="125"/>
      <c r="U157" s="187"/>
      <c r="V157" s="181"/>
      <c r="W157" s="176"/>
      <c r="X157" s="158"/>
      <c r="Y157" s="92"/>
      <c r="Z157" s="158"/>
      <c r="AA157" s="183"/>
      <c r="AB157" s="158"/>
      <c r="AC157" s="183"/>
      <c r="AD157" s="158"/>
      <c r="AE157" s="183"/>
      <c r="AF157" s="91"/>
      <c r="AG157" s="92"/>
      <c r="AH157" s="91"/>
      <c r="AI157" s="92"/>
      <c r="AJ157" s="68"/>
      <c r="AK157" s="32"/>
      <c r="AL157" s="32"/>
      <c r="AM157" s="32"/>
      <c r="AN157" s="32"/>
    </row>
    <row r="158" spans="1:40" s="64" customFormat="1" ht="15.95" customHeight="1">
      <c r="A158" s="62"/>
      <c r="B158" s="64" t="s">
        <v>50</v>
      </c>
      <c r="C158" s="132"/>
      <c r="G158" s="154">
        <f>+offene_Ackerfläche/LN</f>
        <v>0</v>
      </c>
      <c r="M158" s="175"/>
      <c r="O158" s="125"/>
      <c r="P158" s="125"/>
      <c r="Q158" s="125"/>
      <c r="R158" s="125"/>
      <c r="S158" s="125"/>
      <c r="T158" s="125"/>
      <c r="U158" s="129"/>
      <c r="V158" s="181"/>
      <c r="W158" s="176"/>
      <c r="X158" s="182"/>
      <c r="Y158" s="92"/>
      <c r="Z158" s="182"/>
      <c r="AA158" s="92"/>
      <c r="AB158" s="182"/>
      <c r="AC158" s="92"/>
      <c r="AD158" s="91"/>
      <c r="AE158" s="92"/>
      <c r="AF158" s="91"/>
      <c r="AG158" s="92"/>
      <c r="AH158" s="91"/>
      <c r="AI158" s="92"/>
      <c r="AJ158" s="68"/>
      <c r="AK158" s="32"/>
      <c r="AL158" s="32"/>
      <c r="AM158" s="32"/>
      <c r="AN158" s="32"/>
    </row>
    <row r="159" spans="1:40" ht="6" customHeight="1">
      <c r="D159" s="70"/>
      <c r="E159" s="70"/>
      <c r="F159" s="70"/>
      <c r="G159" s="70"/>
      <c r="H159" s="70"/>
      <c r="L159" s="70"/>
      <c r="N159" s="69"/>
      <c r="O159" s="125"/>
      <c r="P159" s="125"/>
      <c r="Q159" s="125"/>
      <c r="R159" s="125"/>
      <c r="S159" s="125"/>
      <c r="T159" s="125"/>
      <c r="U159" s="126"/>
    </row>
    <row r="160" spans="1:40" s="46" customFormat="1">
      <c r="A160" s="45" t="s">
        <v>72</v>
      </c>
      <c r="C160" s="45"/>
      <c r="K160" s="47"/>
      <c r="N160" s="177">
        <f>+M157*G158</f>
        <v>0</v>
      </c>
      <c r="O160" s="49"/>
      <c r="P160" s="49"/>
      <c r="Q160" s="49"/>
      <c r="R160" s="49"/>
      <c r="S160" s="49"/>
      <c r="T160" s="49"/>
      <c r="U160" s="178"/>
      <c r="V160" s="50"/>
      <c r="W160" s="50"/>
      <c r="X160" s="51"/>
      <c r="Y160" s="52"/>
      <c r="Z160" s="51"/>
      <c r="AA160" s="52"/>
      <c r="AB160" s="51"/>
      <c r="AC160" s="52"/>
      <c r="AD160" s="51"/>
      <c r="AE160" s="52"/>
      <c r="AF160" s="51"/>
      <c r="AG160" s="52"/>
      <c r="AH160" s="51"/>
      <c r="AI160" s="52"/>
      <c r="AJ160" s="53"/>
      <c r="AK160" s="54"/>
      <c r="AL160" s="54"/>
      <c r="AM160" s="54"/>
      <c r="AN160" s="54"/>
    </row>
    <row r="161" spans="1:40" ht="6" customHeight="1">
      <c r="D161" s="70"/>
      <c r="E161" s="70"/>
      <c r="F161" s="70"/>
      <c r="G161" s="70"/>
      <c r="H161" s="70"/>
      <c r="L161" s="70"/>
      <c r="N161" s="69"/>
      <c r="O161" s="125"/>
      <c r="P161" s="125"/>
      <c r="Q161" s="125"/>
      <c r="R161" s="125"/>
      <c r="S161" s="125"/>
      <c r="T161" s="125"/>
      <c r="U161" s="126"/>
    </row>
    <row r="162" spans="1:40" s="46" customFormat="1" ht="15.75">
      <c r="A162" s="45" t="s">
        <v>66</v>
      </c>
      <c r="C162" s="45"/>
      <c r="K162" s="47"/>
      <c r="M162" s="48" t="s">
        <v>9</v>
      </c>
      <c r="N162" s="48" t="s">
        <v>71</v>
      </c>
      <c r="O162" s="49" t="s">
        <v>16</v>
      </c>
      <c r="P162" s="49" t="s">
        <v>10</v>
      </c>
      <c r="Q162" s="49" t="s">
        <v>17</v>
      </c>
      <c r="R162" s="49" t="s">
        <v>11</v>
      </c>
      <c r="S162" s="49"/>
      <c r="T162" s="49"/>
      <c r="U162" s="49" t="s">
        <v>15</v>
      </c>
      <c r="V162" s="50"/>
      <c r="W162" s="50"/>
      <c r="X162" s="51"/>
      <c r="Y162" s="52"/>
      <c r="Z162" s="51"/>
      <c r="AA162" s="52"/>
      <c r="AB162" s="51"/>
      <c r="AC162" s="52"/>
      <c r="AD162" s="51"/>
      <c r="AE162" s="52"/>
      <c r="AF162" s="51"/>
      <c r="AG162" s="52"/>
      <c r="AH162" s="51"/>
      <c r="AI162" s="52"/>
      <c r="AJ162" s="53"/>
      <c r="AK162" s="54"/>
      <c r="AL162" s="54"/>
      <c r="AM162" s="54"/>
      <c r="AN162" s="54"/>
    </row>
    <row r="163" spans="1:40" ht="6" customHeight="1">
      <c r="D163" s="70"/>
      <c r="E163" s="70"/>
      <c r="F163" s="70"/>
      <c r="G163" s="70"/>
      <c r="H163" s="70"/>
      <c r="L163" s="70"/>
      <c r="N163" s="69"/>
      <c r="O163" s="125"/>
      <c r="P163" s="125"/>
      <c r="Q163" s="125"/>
      <c r="R163" s="125"/>
      <c r="S163" s="125"/>
      <c r="T163" s="125"/>
      <c r="U163" s="126"/>
    </row>
    <row r="164" spans="1:40" s="64" customFormat="1" ht="15.95" customHeight="1">
      <c r="A164" s="62">
        <v>11</v>
      </c>
      <c r="B164" s="121" t="s">
        <v>97</v>
      </c>
      <c r="D164" s="121"/>
      <c r="E164" s="121"/>
      <c r="F164" s="121"/>
      <c r="G164" s="121"/>
      <c r="H164" s="121"/>
      <c r="L164" s="121"/>
      <c r="M164" s="175"/>
      <c r="O164" s="125"/>
      <c r="P164" s="125"/>
      <c r="Q164" s="125"/>
      <c r="R164" s="125"/>
      <c r="S164" s="125"/>
      <c r="T164" s="125"/>
      <c r="U164" s="129"/>
      <c r="V164" s="181"/>
      <c r="W164" s="176"/>
      <c r="X164" s="182"/>
      <c r="Y164" s="92"/>
      <c r="Z164" s="182"/>
      <c r="AA164" s="92"/>
      <c r="AB164" s="182"/>
      <c r="AC164" s="92"/>
      <c r="AD164" s="91"/>
      <c r="AE164" s="92"/>
      <c r="AF164" s="91"/>
      <c r="AG164" s="92"/>
      <c r="AH164" s="91"/>
      <c r="AI164" s="92"/>
      <c r="AJ164" s="68"/>
      <c r="AK164" s="32"/>
      <c r="AL164" s="32"/>
      <c r="AM164" s="32"/>
      <c r="AN164" s="32"/>
    </row>
    <row r="165" spans="1:40" s="64" customFormat="1" ht="15.95" customHeight="1">
      <c r="A165" s="62">
        <v>11.1</v>
      </c>
      <c r="B165" s="88">
        <v>0</v>
      </c>
      <c r="C165" s="64" t="s">
        <v>46</v>
      </c>
      <c r="M165" s="175"/>
      <c r="O165" s="125"/>
      <c r="P165" s="125"/>
      <c r="Q165" s="125"/>
      <c r="R165" s="125"/>
      <c r="S165" s="125"/>
      <c r="T165" s="125"/>
      <c r="U165" s="129"/>
      <c r="V165" s="181"/>
      <c r="W165" s="176"/>
      <c r="X165" s="182"/>
      <c r="Y165" s="92"/>
      <c r="Z165" s="182"/>
      <c r="AA165" s="92"/>
      <c r="AB165" s="182"/>
      <c r="AC165" s="92"/>
      <c r="AD165" s="91"/>
      <c r="AE165" s="92"/>
      <c r="AF165" s="91"/>
      <c r="AG165" s="92"/>
      <c r="AH165" s="91"/>
      <c r="AI165" s="92"/>
      <c r="AJ165" s="68"/>
      <c r="AK165" s="32"/>
      <c r="AL165" s="32"/>
      <c r="AM165" s="32"/>
      <c r="AN165" s="32"/>
    </row>
    <row r="166" spans="1:40" s="64" customFormat="1" ht="15.95" customHeight="1">
      <c r="A166" s="62"/>
      <c r="B166" s="132" t="s">
        <v>2</v>
      </c>
      <c r="C166" s="153">
        <f>+IF(DGL_Streue&gt;0,B165/DGL_Streue,0)</f>
        <v>0</v>
      </c>
      <c r="D166" s="64" t="s">
        <v>40</v>
      </c>
      <c r="M166" s="175">
        <f>+IF(C166&gt;AD166,AE166,IF(C166&gt;AB166,AC166,IF(C166&gt;Z166,AA166,IF(C166&gt;=X166,Y166,0))))</f>
        <v>0</v>
      </c>
      <c r="O166" s="144" t="str">
        <f>+X166*100&amp;"–"&amp;Z166*100</f>
        <v>4–8</v>
      </c>
      <c r="P166" s="125" t="str">
        <f>+"&gt;"&amp;Z166*100&amp;"–"&amp;AB166*100</f>
        <v>&gt;8–12</v>
      </c>
      <c r="Q166" s="125" t="str">
        <f>+"&gt;"&amp;AB166*100&amp;"–"&amp;AD166*100</f>
        <v>&gt;12–16</v>
      </c>
      <c r="R166" s="125" t="str">
        <f>+"&gt;"&amp;AD166*100</f>
        <v>&gt;16</v>
      </c>
      <c r="S166" s="125"/>
      <c r="T166" s="125"/>
      <c r="U166" s="129" t="s">
        <v>41</v>
      </c>
      <c r="V166" s="181"/>
      <c r="W166" s="185"/>
      <c r="X166" s="182">
        <v>0.04</v>
      </c>
      <c r="Y166" s="92">
        <v>0.5</v>
      </c>
      <c r="Z166" s="182">
        <v>0.08</v>
      </c>
      <c r="AA166" s="183">
        <v>1</v>
      </c>
      <c r="AB166" s="182">
        <v>0.12</v>
      </c>
      <c r="AC166" s="183">
        <v>1.5</v>
      </c>
      <c r="AD166" s="158">
        <v>0.16</v>
      </c>
      <c r="AE166" s="92">
        <v>2</v>
      </c>
      <c r="AF166" s="158"/>
      <c r="AG166" s="92"/>
      <c r="AH166" s="158"/>
      <c r="AI166" s="92"/>
      <c r="AJ166" s="68"/>
      <c r="AK166" s="32"/>
      <c r="AL166" s="32"/>
      <c r="AM166" s="32"/>
      <c r="AN166" s="32"/>
    </row>
    <row r="167" spans="1:40" s="64" customFormat="1" ht="15.95" customHeight="1">
      <c r="A167" s="62">
        <v>11.2</v>
      </c>
      <c r="B167" s="88">
        <v>0</v>
      </c>
      <c r="C167" s="64" t="s">
        <v>98</v>
      </c>
      <c r="M167" s="175"/>
      <c r="O167" s="144"/>
      <c r="P167" s="125"/>
      <c r="Q167" s="125"/>
      <c r="R167" s="125"/>
      <c r="S167" s="125"/>
      <c r="T167" s="125"/>
      <c r="U167" s="129"/>
      <c r="V167" s="181"/>
      <c r="W167" s="176"/>
      <c r="X167" s="182"/>
      <c r="Y167" s="92"/>
      <c r="Z167" s="182"/>
      <c r="AA167" s="92"/>
      <c r="AB167" s="182"/>
      <c r="AC167" s="92"/>
      <c r="AD167" s="158"/>
      <c r="AE167" s="92"/>
      <c r="AF167" s="91"/>
      <c r="AG167" s="92"/>
      <c r="AH167" s="91"/>
      <c r="AI167" s="92"/>
      <c r="AJ167" s="68"/>
      <c r="AK167" s="32"/>
      <c r="AL167" s="32"/>
      <c r="AM167" s="32"/>
      <c r="AN167" s="32"/>
    </row>
    <row r="168" spans="1:40" s="64" customFormat="1" ht="15.95" customHeight="1">
      <c r="A168" s="62"/>
      <c r="B168" s="132" t="s">
        <v>2</v>
      </c>
      <c r="C168" s="153">
        <f>+IF(DGL_Streue&gt;0,B167/DGL_Streue,0)</f>
        <v>0</v>
      </c>
      <c r="D168" s="64" t="s">
        <v>40</v>
      </c>
      <c r="M168" s="175">
        <f>+IF(C168&gt;AD168,AE168,IF(C168&gt;AB168,AC168,IF(C168&gt;Z168,AA168,IF(C168&gt;=X168,Y168,0))))</f>
        <v>0</v>
      </c>
      <c r="O168" s="144" t="str">
        <f>+X168*100&amp;"–"&amp;Z168*100</f>
        <v>6–9</v>
      </c>
      <c r="P168" s="125" t="str">
        <f>+"&gt;"&amp;Z168*100&amp;"–"&amp;AB168*100</f>
        <v>&gt;9–12</v>
      </c>
      <c r="Q168" s="125" t="str">
        <f>+"&gt;"&amp;AB168*100&amp;"–"&amp;AD168*100</f>
        <v>&gt;12–15</v>
      </c>
      <c r="R168" s="125" t="str">
        <f>+"&gt;"&amp;AD168*100</f>
        <v>&gt;15</v>
      </c>
      <c r="S168" s="125"/>
      <c r="T168" s="125"/>
      <c r="U168" s="129" t="s">
        <v>41</v>
      </c>
      <c r="V168" s="181"/>
      <c r="W168" s="185"/>
      <c r="X168" s="182">
        <v>0.06</v>
      </c>
      <c r="Y168" s="92">
        <v>0.5</v>
      </c>
      <c r="Z168" s="182">
        <v>0.09</v>
      </c>
      <c r="AA168" s="183">
        <v>1</v>
      </c>
      <c r="AB168" s="182">
        <v>0.12</v>
      </c>
      <c r="AC168" s="183">
        <v>1.5</v>
      </c>
      <c r="AD168" s="158">
        <v>0.15</v>
      </c>
      <c r="AE168" s="92">
        <v>2</v>
      </c>
      <c r="AF168" s="158"/>
      <c r="AG168" s="92"/>
      <c r="AH168" s="91"/>
      <c r="AI168" s="92"/>
      <c r="AJ168" s="68"/>
      <c r="AK168" s="32"/>
      <c r="AL168" s="32"/>
      <c r="AM168" s="32"/>
      <c r="AN168" s="32"/>
    </row>
    <row r="169" spans="1:40" s="64" customFormat="1" ht="15.95" customHeight="1">
      <c r="A169" s="62">
        <v>11.3</v>
      </c>
      <c r="B169" s="88">
        <v>0</v>
      </c>
      <c r="C169" s="511" t="s">
        <v>185</v>
      </c>
      <c r="D169" s="511"/>
      <c r="E169" s="511"/>
      <c r="F169" s="511"/>
      <c r="G169" s="511"/>
      <c r="H169" s="511"/>
      <c r="I169" s="511"/>
      <c r="J169" s="511"/>
      <c r="K169" s="511"/>
      <c r="M169" s="175"/>
      <c r="O169" s="144"/>
      <c r="P169" s="125"/>
      <c r="Q169" s="125"/>
      <c r="R169" s="125"/>
      <c r="S169" s="125"/>
      <c r="T169" s="125"/>
      <c r="U169" s="129"/>
      <c r="V169" s="181"/>
      <c r="W169" s="176"/>
      <c r="X169" s="182"/>
      <c r="Y169" s="92"/>
      <c r="Z169" s="182"/>
      <c r="AA169" s="92"/>
      <c r="AB169" s="182"/>
      <c r="AC169" s="92"/>
      <c r="AD169" s="158"/>
      <c r="AE169" s="92"/>
      <c r="AF169" s="91"/>
      <c r="AG169" s="92"/>
      <c r="AH169" s="91"/>
      <c r="AI169" s="92"/>
      <c r="AJ169" s="68"/>
      <c r="AK169" s="32"/>
      <c r="AL169" s="32"/>
      <c r="AM169" s="32"/>
      <c r="AN169" s="32"/>
    </row>
    <row r="170" spans="1:40" s="64" customFormat="1" ht="15.95" customHeight="1">
      <c r="A170" s="62"/>
      <c r="B170" s="132" t="s">
        <v>2</v>
      </c>
      <c r="C170" s="153">
        <f>+IF(DGL_Streue&gt;0,B169/DGL_Streue,0)</f>
        <v>0</v>
      </c>
      <c r="D170" s="64" t="s">
        <v>40</v>
      </c>
      <c r="M170" s="175">
        <f>+IF(C170&gt;AD170,AE170,IF(C170&gt;AB170,AC170,IF(C170&gt;Z170,AA170,IF(C170&gt;=X170,Y170,0))))</f>
        <v>0</v>
      </c>
      <c r="O170" s="144" t="str">
        <f>+X170*100&amp;"–"&amp;Z170*100</f>
        <v>1–2</v>
      </c>
      <c r="P170" s="125" t="str">
        <f>+"&gt;"&amp;Z170*100&amp;"–"&amp;AB170*100</f>
        <v>&gt;2–3</v>
      </c>
      <c r="Q170" s="125" t="str">
        <f>+"&gt;"&amp;AB170*100&amp;"–"&amp;AD170*100</f>
        <v>&gt;3–4</v>
      </c>
      <c r="R170" s="125" t="str">
        <f>+"&gt;"&amp;AD170*100</f>
        <v>&gt;4</v>
      </c>
      <c r="S170" s="125"/>
      <c r="T170" s="125"/>
      <c r="U170" s="129" t="s">
        <v>41</v>
      </c>
      <c r="V170" s="181"/>
      <c r="W170" s="185"/>
      <c r="X170" s="182">
        <v>0.01</v>
      </c>
      <c r="Y170" s="92">
        <v>0.5</v>
      </c>
      <c r="Z170" s="182">
        <v>0.02</v>
      </c>
      <c r="AA170" s="183">
        <v>1</v>
      </c>
      <c r="AB170" s="182">
        <v>0.03</v>
      </c>
      <c r="AC170" s="183">
        <v>1.5</v>
      </c>
      <c r="AD170" s="158">
        <v>0.04</v>
      </c>
      <c r="AE170" s="92">
        <v>2</v>
      </c>
      <c r="AF170" s="158"/>
      <c r="AG170" s="92"/>
      <c r="AH170" s="158"/>
      <c r="AI170" s="92"/>
      <c r="AJ170" s="68"/>
      <c r="AK170" s="32"/>
      <c r="AL170" s="32"/>
      <c r="AM170" s="32"/>
      <c r="AN170" s="32"/>
    </row>
    <row r="171" spans="1:40" s="64" customFormat="1" ht="15.95" customHeight="1">
      <c r="A171" s="62">
        <v>11.4</v>
      </c>
      <c r="B171" s="88">
        <v>0</v>
      </c>
      <c r="C171" s="64" t="s">
        <v>186</v>
      </c>
      <c r="M171" s="175"/>
      <c r="O171" s="125"/>
      <c r="P171" s="125"/>
      <c r="Q171" s="125"/>
      <c r="R171" s="125"/>
      <c r="S171" s="125"/>
      <c r="T171" s="125"/>
      <c r="U171" s="129"/>
      <c r="V171" s="181"/>
      <c r="W171" s="176"/>
      <c r="X171" s="182"/>
      <c r="Y171" s="92"/>
      <c r="Z171" s="182"/>
      <c r="AA171" s="92"/>
      <c r="AB171" s="182"/>
      <c r="AC171" s="92"/>
      <c r="AD171" s="158"/>
      <c r="AE171" s="92"/>
      <c r="AF171" s="91"/>
      <c r="AG171" s="92"/>
      <c r="AH171" s="91"/>
      <c r="AI171" s="92"/>
      <c r="AJ171" s="68"/>
      <c r="AK171" s="32"/>
      <c r="AL171" s="32"/>
      <c r="AM171" s="32"/>
      <c r="AN171" s="32"/>
    </row>
    <row r="172" spans="1:40" s="64" customFormat="1" ht="15.95" customHeight="1">
      <c r="A172" s="62"/>
      <c r="B172" s="132" t="s">
        <v>2</v>
      </c>
      <c r="C172" s="153">
        <f>+IF(DGL_Streue&gt;0,B171/DGL_Streue,0)</f>
        <v>0</v>
      </c>
      <c r="D172" s="64" t="s">
        <v>40</v>
      </c>
      <c r="M172" s="175">
        <f>+IF(C172&gt;AD172,AE172,IF(C172&gt;AB172,AC172,IF(C172&gt;Z172,AA172,IF(C172&gt;=X172,Y172,0))))</f>
        <v>0</v>
      </c>
      <c r="O172" s="144" t="str">
        <f>+X172*100&amp;"–"&amp;Z172*100</f>
        <v>1–2</v>
      </c>
      <c r="P172" s="125" t="str">
        <f>+"&gt;"&amp;Z172*100&amp;"–"&amp;AB172*100</f>
        <v>&gt;2–3</v>
      </c>
      <c r="Q172" s="125" t="str">
        <f>+"&gt;"&amp;AB172*100&amp;"–"&amp;AD172*100</f>
        <v>&gt;3–4</v>
      </c>
      <c r="R172" s="125" t="str">
        <f>+"&gt;"&amp;AD172*100</f>
        <v>&gt;4</v>
      </c>
      <c r="S172" s="125"/>
      <c r="T172" s="125"/>
      <c r="U172" s="129" t="s">
        <v>41</v>
      </c>
      <c r="V172" s="181"/>
      <c r="W172" s="185"/>
      <c r="X172" s="182">
        <v>0.01</v>
      </c>
      <c r="Y172" s="92">
        <v>0.5</v>
      </c>
      <c r="Z172" s="182">
        <v>0.02</v>
      </c>
      <c r="AA172" s="183">
        <v>1</v>
      </c>
      <c r="AB172" s="182">
        <v>0.03</v>
      </c>
      <c r="AC172" s="183">
        <v>1.5</v>
      </c>
      <c r="AD172" s="158">
        <v>0.04</v>
      </c>
      <c r="AE172" s="92">
        <v>2</v>
      </c>
      <c r="AF172" s="91"/>
      <c r="AG172" s="92"/>
      <c r="AH172" s="91"/>
      <c r="AI172" s="92"/>
      <c r="AJ172" s="68"/>
      <c r="AK172" s="32"/>
      <c r="AL172" s="32"/>
      <c r="AM172" s="32"/>
      <c r="AN172" s="32"/>
    </row>
    <row r="173" spans="1:40" ht="6" customHeight="1">
      <c r="A173" s="524"/>
      <c r="B173" s="524"/>
      <c r="C173" s="524"/>
      <c r="D173" s="524"/>
      <c r="E173" s="524"/>
      <c r="F173" s="524"/>
      <c r="G173" s="524"/>
      <c r="H173" s="524"/>
      <c r="I173" s="524"/>
      <c r="J173" s="524"/>
      <c r="K173" s="524"/>
      <c r="L173" s="524"/>
      <c r="M173" s="524"/>
      <c r="N173" s="524"/>
      <c r="O173" s="125"/>
      <c r="P173" s="125"/>
      <c r="Q173" s="125"/>
      <c r="R173" s="125"/>
      <c r="S173" s="125"/>
      <c r="T173" s="125"/>
      <c r="U173" s="126"/>
    </row>
    <row r="174" spans="1:40" s="64" customFormat="1" ht="15.95" customHeight="1">
      <c r="A174" s="62">
        <v>12</v>
      </c>
      <c r="B174" s="121" t="s">
        <v>63</v>
      </c>
      <c r="E174" s="121"/>
      <c r="F174" s="121"/>
      <c r="G174" s="121"/>
      <c r="H174" s="121"/>
      <c r="L174" s="121"/>
      <c r="M174" s="175"/>
      <c r="O174" s="125"/>
      <c r="P174" s="125"/>
      <c r="Q174" s="125"/>
      <c r="R174" s="125"/>
      <c r="S174" s="125"/>
      <c r="T174" s="125"/>
      <c r="U174" s="129"/>
      <c r="V174" s="181"/>
      <c r="W174" s="176"/>
      <c r="X174" s="182"/>
      <c r="Y174" s="92"/>
      <c r="Z174" s="182"/>
      <c r="AA174" s="92"/>
      <c r="AB174" s="182"/>
      <c r="AC174" s="92"/>
      <c r="AD174" s="158"/>
      <c r="AE174" s="92"/>
      <c r="AF174" s="91"/>
      <c r="AG174" s="92"/>
      <c r="AH174" s="91"/>
      <c r="AI174" s="92"/>
      <c r="AJ174" s="68"/>
      <c r="AK174" s="32"/>
      <c r="AL174" s="32"/>
      <c r="AM174" s="32"/>
      <c r="AN174" s="161"/>
    </row>
    <row r="175" spans="1:40" s="64" customFormat="1" ht="15.95" customHeight="1">
      <c r="A175" s="62">
        <v>12.1</v>
      </c>
      <c r="B175" s="110">
        <f>+DGL+B16-(G58+G59+G60+G68+G70)</f>
        <v>0</v>
      </c>
      <c r="C175" s="64" t="s">
        <v>100</v>
      </c>
      <c r="E175" s="121"/>
      <c r="F175" s="121"/>
      <c r="G175" s="121"/>
      <c r="H175" s="121"/>
      <c r="L175" s="121"/>
      <c r="M175" s="175"/>
      <c r="O175" s="125"/>
      <c r="P175" s="125"/>
      <c r="Q175" s="125"/>
      <c r="R175" s="125"/>
      <c r="S175" s="125"/>
      <c r="T175" s="125"/>
      <c r="U175" s="129"/>
      <c r="V175" s="181"/>
      <c r="W175" s="176"/>
      <c r="X175" s="182"/>
      <c r="Y175" s="92"/>
      <c r="Z175" s="182"/>
      <c r="AA175" s="92"/>
      <c r="AB175" s="182"/>
      <c r="AC175" s="92"/>
      <c r="AD175" s="158"/>
      <c r="AE175" s="92"/>
      <c r="AF175" s="91"/>
      <c r="AG175" s="92"/>
      <c r="AH175" s="91"/>
      <c r="AI175" s="92"/>
      <c r="AJ175" s="68"/>
      <c r="AK175" s="32"/>
      <c r="AL175" s="32"/>
      <c r="AM175" s="32"/>
      <c r="AN175" s="32"/>
    </row>
    <row r="176" spans="1:40" s="64" customFormat="1" ht="15.95" customHeight="1">
      <c r="A176" s="94" t="s">
        <v>43</v>
      </c>
      <c r="B176" s="88">
        <v>0</v>
      </c>
      <c r="C176" s="64" t="s">
        <v>48</v>
      </c>
      <c r="E176" s="121"/>
      <c r="F176" s="121"/>
      <c r="G176" s="121"/>
      <c r="H176" s="121"/>
      <c r="L176" s="121"/>
      <c r="M176" s="175"/>
      <c r="O176" s="125"/>
      <c r="P176" s="125"/>
      <c r="Q176" s="125"/>
      <c r="R176" s="125"/>
      <c r="S176" s="125"/>
      <c r="T176" s="125"/>
      <c r="U176" s="129"/>
      <c r="V176" s="181"/>
      <c r="W176" s="176"/>
      <c r="X176" s="182"/>
      <c r="Y176" s="92"/>
      <c r="Z176" s="182"/>
      <c r="AA176" s="92"/>
      <c r="AB176" s="182"/>
      <c r="AC176" s="92"/>
      <c r="AD176" s="158"/>
      <c r="AE176" s="92"/>
      <c r="AF176" s="91"/>
      <c r="AG176" s="92"/>
      <c r="AH176" s="91"/>
      <c r="AI176" s="92"/>
      <c r="AJ176" s="68"/>
      <c r="AK176" s="32"/>
      <c r="AL176" s="32"/>
      <c r="AM176" s="32"/>
      <c r="AN176" s="32"/>
    </row>
    <row r="177" spans="1:40" s="64" customFormat="1" ht="15.95" customHeight="1">
      <c r="A177" s="62"/>
      <c r="B177" s="132" t="s">
        <v>2</v>
      </c>
      <c r="C177" s="153">
        <f>+IF(B175&gt;0,B176/B175,0)</f>
        <v>0</v>
      </c>
      <c r="D177" s="64" t="s">
        <v>45</v>
      </c>
      <c r="M177" s="175">
        <f>++IF(C177&gt;AD177,AE177,IF(C177&gt;AB177,AC177,IF(C177&gt;Z177,AA177,IF(C177&gt;=X177,Y177,))))</f>
        <v>0</v>
      </c>
      <c r="O177" s="144" t="str">
        <f>+X177*100&amp;"–"&amp;Z177*100</f>
        <v>30–40</v>
      </c>
      <c r="P177" s="125" t="str">
        <f>+"&gt;"&amp;Z177*100&amp;"–"&amp;AB177*100</f>
        <v>&gt;40–50</v>
      </c>
      <c r="Q177" s="125" t="str">
        <f>+"&gt;"&amp;AB177*100&amp;"–"&amp;AD177*100</f>
        <v>&gt;50–60</v>
      </c>
      <c r="R177" s="125" t="str">
        <f>+"&gt;"&amp;AD177*100</f>
        <v>&gt;60</v>
      </c>
      <c r="S177" s="125"/>
      <c r="T177" s="125"/>
      <c r="U177" s="129" t="s">
        <v>41</v>
      </c>
      <c r="V177" s="181"/>
      <c r="W177" s="176"/>
      <c r="X177" s="182">
        <v>0.3</v>
      </c>
      <c r="Y177" s="92">
        <v>0.5</v>
      </c>
      <c r="Z177" s="182">
        <v>0.4</v>
      </c>
      <c r="AA177" s="92">
        <v>1</v>
      </c>
      <c r="AB177" s="182">
        <v>0.5</v>
      </c>
      <c r="AC177" s="92">
        <v>1.5</v>
      </c>
      <c r="AD177" s="182">
        <v>0.6</v>
      </c>
      <c r="AE177" s="92">
        <v>2</v>
      </c>
      <c r="AF177" s="91"/>
      <c r="AG177" s="92"/>
      <c r="AH177" s="91"/>
      <c r="AI177" s="92"/>
      <c r="AJ177" s="68"/>
      <c r="AK177" s="32"/>
      <c r="AL177" s="32"/>
      <c r="AM177" s="32"/>
      <c r="AN177" s="32"/>
    </row>
    <row r="178" spans="1:40" s="64" customFormat="1" ht="15.95" customHeight="1">
      <c r="A178" s="94" t="s">
        <v>44</v>
      </c>
      <c r="B178" s="88">
        <v>0</v>
      </c>
      <c r="C178" s="64" t="s">
        <v>46</v>
      </c>
      <c r="D178" s="154"/>
      <c r="M178" s="175"/>
      <c r="O178" s="144"/>
      <c r="P178" s="125"/>
      <c r="Q178" s="125"/>
      <c r="R178" s="125"/>
      <c r="S178" s="125"/>
      <c r="T178" s="125"/>
      <c r="U178" s="129"/>
      <c r="V178" s="181"/>
      <c r="W178" s="176"/>
      <c r="X178" s="182"/>
      <c r="Y178" s="92"/>
      <c r="Z178" s="182"/>
      <c r="AA178" s="92"/>
      <c r="AB178" s="182"/>
      <c r="AC178" s="92"/>
      <c r="AD178" s="182"/>
      <c r="AE178" s="92"/>
      <c r="AF178" s="91"/>
      <c r="AG178" s="92"/>
      <c r="AH178" s="91"/>
      <c r="AI178" s="92"/>
      <c r="AJ178" s="68"/>
      <c r="AK178" s="32"/>
      <c r="AL178" s="32"/>
      <c r="AM178" s="32"/>
      <c r="AN178" s="32"/>
    </row>
    <row r="179" spans="1:40" s="64" customFormat="1" ht="15.95" customHeight="1">
      <c r="A179" s="62"/>
      <c r="B179" s="132" t="s">
        <v>2</v>
      </c>
      <c r="C179" s="153">
        <f>+IF(B175&gt;0,B178/B175,0)</f>
        <v>0</v>
      </c>
      <c r="D179" s="64" t="s">
        <v>45</v>
      </c>
      <c r="M179" s="175">
        <f>++IF(C179&gt;AD179,AE179,IF(C179&gt;AB179,AC179,IF(C179&gt;Z179,AA179,IF(C179&gt;=X179,Y179,))))</f>
        <v>0</v>
      </c>
      <c r="O179" s="144" t="str">
        <f>+X179*100&amp;"–"&amp;Z179*100</f>
        <v>30–40</v>
      </c>
      <c r="P179" s="125" t="str">
        <f>+"&gt;"&amp;Z179*100&amp;"–"&amp;AB179*100</f>
        <v>&gt;40–50</v>
      </c>
      <c r="Q179" s="125" t="str">
        <f>+"&gt;"&amp;AB179*100&amp;"–"&amp;AD179*100</f>
        <v>&gt;50–60</v>
      </c>
      <c r="R179" s="125" t="str">
        <f>+"&gt;"&amp;AD179*100</f>
        <v>&gt;60</v>
      </c>
      <c r="S179" s="125"/>
      <c r="T179" s="125"/>
      <c r="U179" s="129" t="s">
        <v>41</v>
      </c>
      <c r="V179" s="181"/>
      <c r="W179" s="176"/>
      <c r="X179" s="182">
        <v>0.3</v>
      </c>
      <c r="Y179" s="92">
        <v>0.5</v>
      </c>
      <c r="Z179" s="182">
        <v>0.4</v>
      </c>
      <c r="AA179" s="92">
        <v>1</v>
      </c>
      <c r="AB179" s="182">
        <v>0.5</v>
      </c>
      <c r="AC179" s="92">
        <v>1.5</v>
      </c>
      <c r="AD179" s="182">
        <v>0.6</v>
      </c>
      <c r="AE179" s="92">
        <v>2</v>
      </c>
      <c r="AF179" s="91"/>
      <c r="AG179" s="92"/>
      <c r="AH179" s="91"/>
      <c r="AI179" s="92"/>
      <c r="AJ179" s="68"/>
      <c r="AK179" s="32"/>
      <c r="AL179" s="32"/>
      <c r="AM179" s="32"/>
      <c r="AN179" s="32"/>
    </row>
    <row r="180" spans="1:40" s="64" customFormat="1" ht="15.95" customHeight="1">
      <c r="A180" s="94" t="s">
        <v>164</v>
      </c>
      <c r="B180" s="88">
        <v>0</v>
      </c>
      <c r="C180" s="511" t="s">
        <v>187</v>
      </c>
      <c r="D180" s="511"/>
      <c r="E180" s="511"/>
      <c r="F180" s="511"/>
      <c r="G180" s="511"/>
      <c r="H180" s="511"/>
      <c r="I180" s="511"/>
      <c r="J180" s="511"/>
      <c r="K180" s="511"/>
      <c r="M180" s="175"/>
      <c r="O180" s="144"/>
      <c r="P180" s="125"/>
      <c r="Q180" s="125"/>
      <c r="R180" s="125"/>
      <c r="S180" s="125"/>
      <c r="T180" s="125"/>
      <c r="U180" s="129"/>
      <c r="V180" s="181"/>
      <c r="W180" s="176"/>
      <c r="X180" s="182"/>
      <c r="Y180" s="92"/>
      <c r="Z180" s="182"/>
      <c r="AA180" s="92"/>
      <c r="AB180" s="182"/>
      <c r="AC180" s="92"/>
      <c r="AD180" s="182"/>
      <c r="AE180" s="92"/>
      <c r="AF180" s="91"/>
      <c r="AG180" s="92"/>
      <c r="AH180" s="91"/>
      <c r="AI180" s="92"/>
      <c r="AJ180" s="68"/>
      <c r="AK180" s="32"/>
      <c r="AL180" s="32"/>
      <c r="AM180" s="32"/>
      <c r="AN180" s="32"/>
    </row>
    <row r="181" spans="1:40" s="64" customFormat="1" ht="15.95" customHeight="1">
      <c r="A181" s="62"/>
      <c r="B181" s="132" t="s">
        <v>2</v>
      </c>
      <c r="C181" s="153">
        <f>+IF(B175&gt;0,B180/B175,0)</f>
        <v>0</v>
      </c>
      <c r="D181" s="64" t="s">
        <v>45</v>
      </c>
      <c r="M181" s="175">
        <f>++IF(C181&gt;AD181,AE181,IF(C181&gt;AB181,AC181,IF(C181&gt;Z181,AA181,IF(C181&gt;=X181,Y181,))))</f>
        <v>0</v>
      </c>
      <c r="O181" s="144" t="str">
        <f>+X181*100&amp;"–"&amp;Z181*100</f>
        <v>12–18</v>
      </c>
      <c r="P181" s="125" t="str">
        <f>+"&gt;"&amp;Z181*100&amp;"–"&amp;AB181*100</f>
        <v>&gt;18–24</v>
      </c>
      <c r="Q181" s="125" t="str">
        <f>+"&gt;"&amp;AB181*100&amp;"–"&amp;AD181*100</f>
        <v>&gt;24–30</v>
      </c>
      <c r="R181" s="125" t="str">
        <f>+"&gt;"&amp;AD181*100</f>
        <v>&gt;30</v>
      </c>
      <c r="S181" s="125"/>
      <c r="T181" s="125"/>
      <c r="U181" s="129" t="s">
        <v>41</v>
      </c>
      <c r="V181" s="181"/>
      <c r="W181" s="176"/>
      <c r="X181" s="182">
        <v>0.12</v>
      </c>
      <c r="Y181" s="92">
        <v>0.5</v>
      </c>
      <c r="Z181" s="182">
        <v>0.18</v>
      </c>
      <c r="AA181" s="92">
        <v>1</v>
      </c>
      <c r="AB181" s="182">
        <v>0.24</v>
      </c>
      <c r="AC181" s="92">
        <v>1.5</v>
      </c>
      <c r="AD181" s="182">
        <v>0.3</v>
      </c>
      <c r="AE181" s="92">
        <v>2</v>
      </c>
      <c r="AF181" s="91"/>
      <c r="AG181" s="92"/>
      <c r="AH181" s="91"/>
      <c r="AI181" s="92"/>
      <c r="AJ181" s="68"/>
      <c r="AK181" s="32"/>
      <c r="AL181" s="32"/>
      <c r="AM181" s="32"/>
      <c r="AN181" s="32"/>
    </row>
    <row r="182" spans="1:40" s="64" customFormat="1" hidden="1">
      <c r="A182" s="62">
        <v>12.3</v>
      </c>
      <c r="B182" s="188">
        <v>0</v>
      </c>
      <c r="C182" s="64" t="s">
        <v>49</v>
      </c>
      <c r="M182" s="127"/>
      <c r="O182" s="125"/>
      <c r="P182" s="144"/>
      <c r="Q182" s="125"/>
      <c r="R182" s="125"/>
      <c r="S182" s="125"/>
      <c r="T182" s="125"/>
      <c r="U182" s="129"/>
      <c r="V182" s="135"/>
      <c r="W182" s="136"/>
      <c r="X182" s="158"/>
      <c r="Y182" s="92"/>
      <c r="Z182" s="158"/>
      <c r="AA182" s="92"/>
      <c r="AB182" s="158"/>
      <c r="AC182" s="92"/>
      <c r="AD182" s="158"/>
      <c r="AE182" s="92"/>
      <c r="AF182" s="91"/>
      <c r="AG182" s="92"/>
      <c r="AH182" s="91"/>
      <c r="AI182" s="92"/>
      <c r="AJ182" s="68"/>
      <c r="AK182" s="32"/>
      <c r="AL182" s="32"/>
      <c r="AM182" s="32"/>
      <c r="AN182" s="32"/>
    </row>
    <row r="183" spans="1:40" s="64" customFormat="1" hidden="1">
      <c r="A183" s="62"/>
      <c r="B183" s="69"/>
      <c r="C183" s="132" t="s">
        <v>2</v>
      </c>
      <c r="D183" s="154">
        <f>+IF(B175&gt;0,B182/B175,0)</f>
        <v>0</v>
      </c>
      <c r="E183" s="64" t="s">
        <v>45</v>
      </c>
      <c r="M183" s="175">
        <f>+IF(D183=1,0.5,0)</f>
        <v>0</v>
      </c>
      <c r="O183" s="144">
        <v>100</v>
      </c>
      <c r="P183" s="125"/>
      <c r="Q183" s="125"/>
      <c r="R183" s="125"/>
      <c r="S183" s="125"/>
      <c r="T183" s="125"/>
      <c r="U183" s="129" t="s">
        <v>41</v>
      </c>
      <c r="V183" s="181"/>
      <c r="W183" s="185"/>
      <c r="X183" s="158"/>
      <c r="Y183" s="92"/>
      <c r="Z183" s="158"/>
      <c r="AA183" s="183"/>
      <c r="AB183" s="158"/>
      <c r="AC183" s="183"/>
      <c r="AD183" s="158"/>
      <c r="AE183" s="183"/>
      <c r="AF183" s="186"/>
      <c r="AG183" s="183"/>
      <c r="AH183" s="186"/>
      <c r="AI183" s="183"/>
      <c r="AJ183" s="68"/>
      <c r="AK183" s="32"/>
      <c r="AL183" s="32"/>
      <c r="AM183" s="32"/>
      <c r="AN183" s="32"/>
    </row>
    <row r="184" spans="1:40" ht="6.6" customHeight="1">
      <c r="A184" s="524"/>
      <c r="B184" s="524"/>
      <c r="C184" s="524"/>
      <c r="D184" s="524"/>
      <c r="E184" s="524"/>
      <c r="F184" s="524"/>
      <c r="G184" s="524"/>
      <c r="H184" s="524"/>
      <c r="I184" s="524"/>
      <c r="J184" s="524"/>
      <c r="K184" s="524"/>
      <c r="L184" s="524"/>
      <c r="M184" s="524"/>
      <c r="N184" s="524"/>
      <c r="O184" s="125"/>
      <c r="P184" s="125"/>
      <c r="Q184" s="125"/>
      <c r="R184" s="125"/>
      <c r="S184" s="125"/>
      <c r="T184" s="125"/>
      <c r="U184" s="126"/>
    </row>
    <row r="185" spans="1:40" s="64" customFormat="1" ht="15.95" customHeight="1">
      <c r="A185" s="62"/>
      <c r="B185" s="121" t="s">
        <v>93</v>
      </c>
      <c r="C185" s="132"/>
      <c r="D185" s="154"/>
      <c r="M185" s="175">
        <f>SUM(M162:M184)</f>
        <v>0</v>
      </c>
      <c r="O185" s="144"/>
      <c r="P185" s="125"/>
      <c r="Q185" s="125"/>
      <c r="R185" s="125"/>
      <c r="S185" s="125"/>
      <c r="T185" s="125"/>
      <c r="U185" s="187"/>
      <c r="V185" s="181"/>
      <c r="W185" s="176"/>
      <c r="X185" s="158"/>
      <c r="Y185" s="92"/>
      <c r="Z185" s="158"/>
      <c r="AA185" s="183"/>
      <c r="AB185" s="158"/>
      <c r="AC185" s="183"/>
      <c r="AD185" s="158"/>
      <c r="AE185" s="183"/>
      <c r="AF185" s="91"/>
      <c r="AG185" s="92"/>
      <c r="AH185" s="91"/>
      <c r="AI185" s="92"/>
      <c r="AJ185" s="68"/>
      <c r="AK185" s="32"/>
      <c r="AL185" s="32"/>
      <c r="AM185" s="32"/>
      <c r="AN185" s="32"/>
    </row>
    <row r="186" spans="1:40" s="64" customFormat="1" ht="15.95" customHeight="1">
      <c r="A186" s="62"/>
      <c r="B186" s="64" t="s">
        <v>51</v>
      </c>
      <c r="C186" s="132"/>
      <c r="G186" s="154">
        <f>+(DGL_Streue+Kunstwiesen_Tal)/LN</f>
        <v>0</v>
      </c>
      <c r="M186" s="175"/>
      <c r="O186" s="125"/>
      <c r="P186" s="125"/>
      <c r="Q186" s="125"/>
      <c r="R186" s="125"/>
      <c r="S186" s="125"/>
      <c r="T186" s="125"/>
      <c r="U186" s="129"/>
      <c r="V186" s="181"/>
      <c r="W186" s="176"/>
      <c r="X186" s="182"/>
      <c r="Y186" s="92"/>
      <c r="Z186" s="182"/>
      <c r="AA186" s="92"/>
      <c r="AB186" s="182"/>
      <c r="AC186" s="92"/>
      <c r="AD186" s="91"/>
      <c r="AE186" s="92"/>
      <c r="AF186" s="91"/>
      <c r="AG186" s="92"/>
      <c r="AH186" s="91"/>
      <c r="AI186" s="92"/>
      <c r="AJ186" s="68"/>
      <c r="AK186" s="32"/>
      <c r="AL186" s="32"/>
      <c r="AM186" s="32"/>
      <c r="AN186" s="32"/>
    </row>
    <row r="187" spans="1:40" ht="6" customHeight="1">
      <c r="A187" s="524"/>
      <c r="B187" s="524"/>
      <c r="C187" s="524"/>
      <c r="D187" s="524"/>
      <c r="E187" s="524"/>
      <c r="F187" s="524"/>
      <c r="G187" s="524"/>
      <c r="H187" s="524"/>
      <c r="I187" s="524"/>
      <c r="J187" s="524"/>
      <c r="K187" s="524"/>
      <c r="L187" s="524"/>
      <c r="M187" s="524"/>
      <c r="N187" s="524"/>
      <c r="O187" s="125"/>
      <c r="P187" s="125"/>
      <c r="Q187" s="125"/>
      <c r="R187" s="125"/>
      <c r="S187" s="125"/>
      <c r="T187" s="125"/>
      <c r="U187" s="126"/>
    </row>
    <row r="188" spans="1:40" s="46" customFormat="1">
      <c r="A188" s="45" t="s">
        <v>73</v>
      </c>
      <c r="C188" s="45"/>
      <c r="K188" s="47"/>
      <c r="N188" s="177">
        <f>+M185*G186</f>
        <v>0</v>
      </c>
      <c r="O188" s="49"/>
      <c r="P188" s="49"/>
      <c r="Q188" s="49"/>
      <c r="R188" s="49"/>
      <c r="S188" s="49"/>
      <c r="T188" s="49"/>
      <c r="U188" s="178"/>
      <c r="V188" s="50"/>
      <c r="W188" s="50"/>
      <c r="X188" s="51"/>
      <c r="Y188" s="52"/>
      <c r="Z188" s="51"/>
      <c r="AA188" s="52"/>
      <c r="AB188" s="51"/>
      <c r="AC188" s="52"/>
      <c r="AD188" s="51"/>
      <c r="AE188" s="52"/>
      <c r="AF188" s="51"/>
      <c r="AG188" s="52"/>
      <c r="AH188" s="51"/>
      <c r="AI188" s="52"/>
      <c r="AJ188" s="53"/>
      <c r="AK188" s="54"/>
      <c r="AL188" s="54"/>
      <c r="AM188" s="54"/>
      <c r="AN188" s="54"/>
    </row>
    <row r="189" spans="1:40" ht="6" customHeight="1">
      <c r="A189" s="524"/>
      <c r="B189" s="524"/>
      <c r="C189" s="524"/>
      <c r="D189" s="524"/>
      <c r="E189" s="524"/>
      <c r="F189" s="524"/>
      <c r="G189" s="524"/>
      <c r="H189" s="524"/>
      <c r="I189" s="524"/>
      <c r="J189" s="524"/>
      <c r="K189" s="524"/>
      <c r="L189" s="524"/>
      <c r="M189" s="524"/>
      <c r="N189" s="524"/>
      <c r="O189" s="125"/>
      <c r="P189" s="125"/>
      <c r="Q189" s="125"/>
      <c r="R189" s="125"/>
      <c r="S189" s="125"/>
      <c r="T189" s="125"/>
      <c r="U189" s="126"/>
    </row>
    <row r="190" spans="1:40" s="46" customFormat="1" ht="15.75">
      <c r="A190" s="45" t="s">
        <v>165</v>
      </c>
      <c r="C190" s="45"/>
      <c r="K190" s="47"/>
      <c r="M190" s="48" t="s">
        <v>9</v>
      </c>
      <c r="N190" s="48" t="s">
        <v>71</v>
      </c>
      <c r="O190" s="49" t="s">
        <v>16</v>
      </c>
      <c r="P190" s="49" t="s">
        <v>10</v>
      </c>
      <c r="Q190" s="49" t="s">
        <v>17</v>
      </c>
      <c r="R190" s="49" t="s">
        <v>11</v>
      </c>
      <c r="S190" s="49"/>
      <c r="T190" s="49"/>
      <c r="U190" s="49" t="s">
        <v>15</v>
      </c>
      <c r="V190" s="50"/>
      <c r="W190" s="50"/>
      <c r="X190" s="51"/>
      <c r="Y190" s="52"/>
      <c r="Z190" s="51"/>
      <c r="AA190" s="52"/>
      <c r="AB190" s="51"/>
      <c r="AC190" s="52"/>
      <c r="AD190" s="51"/>
      <c r="AE190" s="52"/>
      <c r="AF190" s="51"/>
      <c r="AG190" s="52"/>
      <c r="AH190" s="51"/>
      <c r="AI190" s="52"/>
      <c r="AJ190" s="53"/>
      <c r="AK190" s="54"/>
      <c r="AL190" s="54"/>
      <c r="AM190" s="54"/>
      <c r="AN190" s="54"/>
    </row>
    <row r="191" spans="1:40" ht="6" customHeight="1">
      <c r="A191" s="524"/>
      <c r="B191" s="524"/>
      <c r="C191" s="524"/>
      <c r="D191" s="524"/>
      <c r="E191" s="524"/>
      <c r="F191" s="524"/>
      <c r="G191" s="524"/>
      <c r="H191" s="524"/>
      <c r="I191" s="524"/>
      <c r="J191" s="524"/>
      <c r="K191" s="524"/>
      <c r="L191" s="524"/>
      <c r="M191" s="524"/>
      <c r="N191" s="524"/>
      <c r="O191" s="125"/>
      <c r="P191" s="125"/>
      <c r="Q191" s="125"/>
      <c r="R191" s="125"/>
      <c r="S191" s="125"/>
      <c r="T191" s="125"/>
      <c r="U191" s="126"/>
    </row>
    <row r="192" spans="1:40" s="64" customFormat="1" ht="15.95" customHeight="1" outlineLevel="1">
      <c r="A192" s="98" t="s">
        <v>479</v>
      </c>
      <c r="B192" s="121" t="s">
        <v>477</v>
      </c>
      <c r="D192" s="189"/>
      <c r="M192" s="175"/>
      <c r="N192" s="72"/>
      <c r="O192" s="144"/>
      <c r="P192" s="125"/>
      <c r="Q192" s="125"/>
      <c r="R192" s="125"/>
      <c r="S192" s="125"/>
      <c r="T192" s="125"/>
      <c r="U192" s="129"/>
      <c r="V192" s="181"/>
      <c r="W192" s="176"/>
      <c r="X192" s="190"/>
      <c r="Y192" s="92"/>
      <c r="Z192" s="190"/>
      <c r="AA192" s="92"/>
      <c r="AB192" s="190"/>
      <c r="AC192" s="191"/>
      <c r="AD192" s="190"/>
      <c r="AE192" s="92"/>
      <c r="AF192" s="137"/>
      <c r="AG192" s="130"/>
      <c r="AH192" s="137"/>
      <c r="AI192" s="130"/>
      <c r="AJ192" s="68"/>
      <c r="AK192" s="32"/>
      <c r="AL192" s="32"/>
      <c r="AM192" s="32"/>
      <c r="AN192" s="32"/>
    </row>
    <row r="193" spans="1:40" s="64" customFormat="1" ht="15.95" customHeight="1" outlineLevel="1">
      <c r="A193" s="62"/>
      <c r="B193" s="192">
        <v>0</v>
      </c>
      <c r="C193" s="64" t="s">
        <v>477</v>
      </c>
      <c r="D193" s="189"/>
      <c r="M193" s="175"/>
      <c r="N193" s="72"/>
      <c r="O193" s="144"/>
      <c r="P193" s="125"/>
      <c r="Q193" s="125"/>
      <c r="R193" s="125"/>
      <c r="S193" s="125"/>
      <c r="T193" s="125"/>
      <c r="U193" s="129"/>
      <c r="V193" s="181"/>
      <c r="W193" s="176"/>
      <c r="X193" s="190"/>
      <c r="Y193" s="92"/>
      <c r="Z193" s="190"/>
      <c r="AA193" s="92"/>
      <c r="AB193" s="190"/>
      <c r="AC193" s="191"/>
      <c r="AD193" s="190"/>
      <c r="AE193" s="92"/>
      <c r="AF193" s="137"/>
      <c r="AG193" s="130"/>
      <c r="AH193" s="137"/>
      <c r="AI193" s="130"/>
      <c r="AJ193" s="68"/>
      <c r="AK193" s="32"/>
      <c r="AL193" s="32"/>
      <c r="AM193" s="32"/>
      <c r="AN193" s="32"/>
    </row>
    <row r="194" spans="1:40" s="64" customFormat="1" ht="15.95" customHeight="1" outlineLevel="1">
      <c r="A194" s="62"/>
      <c r="B194" s="132" t="s">
        <v>2</v>
      </c>
      <c r="C194" s="154">
        <f>+B193/B$13</f>
        <v>0</v>
      </c>
      <c r="D194" s="64" t="s">
        <v>3</v>
      </c>
      <c r="I194" s="128"/>
      <c r="M194" s="127">
        <f>+IF(C194&gt;AD194,AE194,IF(C194&gt;AB194,AC194,IF(C194&gt;Z194,AA194,IF(C194&gt;=X194,Y194,0))))</f>
        <v>0</v>
      </c>
      <c r="N194" s="72"/>
      <c r="O194" s="144" t="str">
        <f>+X194*100&amp;"–"&amp;Z194*100</f>
        <v>2–3</v>
      </c>
      <c r="P194" s="125" t="str">
        <f>+"&gt;"&amp;Z194*100&amp;"–"&amp;AB194*100</f>
        <v>&gt;3–4</v>
      </c>
      <c r="Q194" s="125" t="str">
        <f>+"&gt;"&amp;AB194*100&amp;"–"&amp;AD194*100</f>
        <v>&gt;4–5</v>
      </c>
      <c r="R194" s="125" t="str">
        <f>+"&gt;"&amp;AD194*100</f>
        <v>&gt;5</v>
      </c>
      <c r="S194" s="125"/>
      <c r="T194" s="125"/>
      <c r="U194" s="129" t="s">
        <v>41</v>
      </c>
      <c r="V194" s="181"/>
      <c r="W194" s="176"/>
      <c r="X194" s="182">
        <v>0.02</v>
      </c>
      <c r="Y194" s="92">
        <v>0.5</v>
      </c>
      <c r="Z194" s="182">
        <v>0.03</v>
      </c>
      <c r="AA194" s="92">
        <v>1</v>
      </c>
      <c r="AB194" s="182">
        <v>0.04</v>
      </c>
      <c r="AC194" s="92">
        <v>1.5</v>
      </c>
      <c r="AD194" s="182">
        <v>0.05</v>
      </c>
      <c r="AE194" s="92">
        <v>2</v>
      </c>
      <c r="AF194" s="91"/>
      <c r="AG194" s="92"/>
      <c r="AH194" s="91"/>
      <c r="AI194" s="92"/>
      <c r="AJ194" s="68"/>
      <c r="AK194" s="32"/>
      <c r="AL194" s="32"/>
      <c r="AM194" s="32"/>
      <c r="AN194" s="32"/>
    </row>
    <row r="195" spans="1:40" ht="6.6" customHeight="1">
      <c r="B195" s="189"/>
      <c r="D195" s="70"/>
      <c r="E195" s="70"/>
      <c r="F195" s="70"/>
      <c r="G195" s="70"/>
      <c r="H195" s="70"/>
      <c r="M195" s="199"/>
      <c r="N195" s="71"/>
      <c r="O195" s="125"/>
      <c r="P195" s="125"/>
      <c r="Q195" s="125"/>
      <c r="R195" s="125"/>
      <c r="S195" s="125"/>
      <c r="T195" s="125"/>
      <c r="U195" s="126"/>
    </row>
    <row r="196" spans="1:40" s="64" customFormat="1" ht="15.95" customHeight="1" outlineLevel="1">
      <c r="A196" s="62">
        <v>13</v>
      </c>
      <c r="B196" s="121" t="s">
        <v>167</v>
      </c>
      <c r="C196" s="132"/>
      <c r="D196" s="189"/>
      <c r="M196" s="175"/>
      <c r="N196" s="72"/>
      <c r="O196" s="144"/>
      <c r="P196" s="125"/>
      <c r="Q196" s="125"/>
      <c r="R196" s="125"/>
      <c r="S196" s="125"/>
      <c r="T196" s="125"/>
      <c r="U196" s="129"/>
      <c r="V196" s="181"/>
      <c r="W196" s="176"/>
      <c r="X196" s="137"/>
      <c r="Y196" s="130"/>
      <c r="Z196" s="137"/>
      <c r="AA196" s="130"/>
      <c r="AB196" s="137"/>
      <c r="AC196" s="191"/>
      <c r="AD196" s="137"/>
      <c r="AE196" s="130"/>
      <c r="AF196" s="137"/>
      <c r="AG196" s="130"/>
      <c r="AH196" s="137"/>
      <c r="AI196" s="130"/>
      <c r="AJ196" s="68"/>
      <c r="AK196" s="32"/>
      <c r="AL196" s="32"/>
      <c r="AM196" s="32"/>
      <c r="AN196" s="32"/>
    </row>
    <row r="197" spans="1:40" s="64" customFormat="1" ht="15.95" customHeight="1" outlineLevel="1">
      <c r="A197" s="62">
        <v>13.1</v>
      </c>
      <c r="B197" s="511" t="s">
        <v>168</v>
      </c>
      <c r="C197" s="511"/>
      <c r="D197" s="511"/>
      <c r="E197" s="511"/>
      <c r="I197" s="90" t="s">
        <v>170</v>
      </c>
      <c r="K197" s="64">
        <f>SUM(G199:G202,K199:K202)</f>
        <v>0</v>
      </c>
      <c r="M197" s="175">
        <f>++IF(K197&gt;AD197,AE197,IF(K197&gt;AB197,AC197,IF(K197&gt;Z197,AA197,IF(K197&gt;=X197,Y197,))))</f>
        <v>0</v>
      </c>
      <c r="N197" s="72"/>
      <c r="O197" s="144" t="str">
        <f>+X197&amp;"–"&amp;Z197</f>
        <v>100–200</v>
      </c>
      <c r="P197" s="125" t="str">
        <f>+"&gt;"&amp;Z197&amp;"–"&amp;AB197</f>
        <v>&gt;200–300</v>
      </c>
      <c r="Q197" s="125" t="str">
        <f>+"&gt;"&amp;AB197&amp;"–"&amp;AD197</f>
        <v>&gt;300–400</v>
      </c>
      <c r="R197" s="125" t="str">
        <f>+"&gt;"&amp;AD197</f>
        <v>&gt;400</v>
      </c>
      <c r="S197" s="125"/>
      <c r="T197" s="125"/>
      <c r="U197" s="129" t="s">
        <v>20</v>
      </c>
      <c r="V197" s="181"/>
      <c r="W197" s="176"/>
      <c r="X197" s="190">
        <v>100</v>
      </c>
      <c r="Y197" s="92">
        <v>0.5</v>
      </c>
      <c r="Z197" s="190">
        <v>200</v>
      </c>
      <c r="AA197" s="92">
        <v>1</v>
      </c>
      <c r="AB197" s="190">
        <v>300</v>
      </c>
      <c r="AC197" s="191">
        <v>1.5</v>
      </c>
      <c r="AD197" s="190">
        <v>400</v>
      </c>
      <c r="AE197" s="92">
        <v>2</v>
      </c>
      <c r="AF197" s="137"/>
      <c r="AG197" s="130"/>
      <c r="AH197" s="137"/>
      <c r="AI197" s="130"/>
      <c r="AJ197" s="68"/>
      <c r="AK197" s="32"/>
      <c r="AL197" s="32"/>
      <c r="AM197" s="32"/>
      <c r="AN197" s="193"/>
    </row>
    <row r="198" spans="1:40" s="64" customFormat="1" ht="15.95" customHeight="1" outlineLevel="1">
      <c r="A198" s="62"/>
      <c r="B198" s="189"/>
      <c r="D198" s="189"/>
      <c r="E198" s="64" t="s">
        <v>169</v>
      </c>
      <c r="G198" s="64" t="s">
        <v>171</v>
      </c>
      <c r="I198" s="64" t="s">
        <v>169</v>
      </c>
      <c r="J198" s="189"/>
      <c r="K198" s="64" t="s">
        <v>171</v>
      </c>
      <c r="M198" s="175"/>
      <c r="N198" s="72"/>
      <c r="O198" s="144"/>
      <c r="P198" s="125"/>
      <c r="Q198" s="125"/>
      <c r="R198" s="125"/>
      <c r="S198" s="125"/>
      <c r="T198" s="125"/>
      <c r="U198" s="129"/>
      <c r="V198" s="181"/>
      <c r="W198" s="176"/>
      <c r="X198" s="190"/>
      <c r="Y198" s="92"/>
      <c r="Z198" s="190"/>
      <c r="AA198" s="92"/>
      <c r="AB198" s="190"/>
      <c r="AC198" s="191"/>
      <c r="AD198" s="190"/>
      <c r="AE198" s="92"/>
      <c r="AF198" s="137"/>
      <c r="AG198" s="130"/>
      <c r="AH198" s="137"/>
      <c r="AI198" s="130"/>
      <c r="AJ198" s="68"/>
      <c r="AK198" s="32"/>
      <c r="AL198" s="32"/>
      <c r="AM198" s="32"/>
      <c r="AN198" s="32"/>
    </row>
    <row r="199" spans="1:40" s="64" customFormat="1" ht="15.95" customHeight="1" outlineLevel="1">
      <c r="A199" s="62"/>
      <c r="C199" s="194">
        <f ca="1">YEAR(TODAY())</f>
        <v>2026</v>
      </c>
      <c r="D199" s="189"/>
      <c r="E199" s="139">
        <v>2026</v>
      </c>
      <c r="G199" s="195">
        <v>0</v>
      </c>
      <c r="I199" s="196">
        <f>+E202-1</f>
        <v>2022</v>
      </c>
      <c r="K199" s="195">
        <v>0</v>
      </c>
      <c r="M199" s="175"/>
      <c r="N199" s="72"/>
      <c r="O199" s="144"/>
      <c r="P199" s="125"/>
      <c r="Q199" s="125"/>
      <c r="R199" s="125"/>
      <c r="S199" s="125"/>
      <c r="T199" s="125"/>
      <c r="U199" s="129"/>
      <c r="V199" s="181"/>
      <c r="W199" s="176"/>
      <c r="X199" s="190"/>
      <c r="Y199" s="92"/>
      <c r="Z199" s="190"/>
      <c r="AA199" s="92"/>
      <c r="AB199" s="190"/>
      <c r="AC199" s="191"/>
      <c r="AD199" s="190"/>
      <c r="AE199" s="92"/>
      <c r="AF199" s="137"/>
      <c r="AG199" s="130"/>
      <c r="AH199" s="137"/>
      <c r="AI199" s="130"/>
      <c r="AJ199" s="68"/>
      <c r="AK199" s="32"/>
      <c r="AL199" s="32"/>
      <c r="AM199" s="32"/>
      <c r="AN199" s="32"/>
    </row>
    <row r="200" spans="1:40" s="64" customFormat="1" ht="15.95" customHeight="1" outlineLevel="1">
      <c r="A200" s="62"/>
      <c r="B200" s="189"/>
      <c r="D200" s="189"/>
      <c r="E200" s="196">
        <f>+E199-1</f>
        <v>2025</v>
      </c>
      <c r="G200" s="195">
        <v>0</v>
      </c>
      <c r="I200" s="196">
        <f t="shared" ref="I200:I202" si="2">+I199-1</f>
        <v>2021</v>
      </c>
      <c r="K200" s="195">
        <v>0</v>
      </c>
      <c r="M200" s="175"/>
      <c r="N200" s="72"/>
      <c r="O200" s="144"/>
      <c r="P200" s="125"/>
      <c r="Q200" s="125"/>
      <c r="R200" s="125"/>
      <c r="S200" s="125"/>
      <c r="T200" s="125"/>
      <c r="U200" s="129"/>
      <c r="V200" s="181"/>
      <c r="W200" s="176"/>
      <c r="X200" s="190"/>
      <c r="Y200" s="92"/>
      <c r="Z200" s="190"/>
      <c r="AA200" s="92"/>
      <c r="AB200" s="190"/>
      <c r="AC200" s="191"/>
      <c r="AD200" s="190"/>
      <c r="AE200" s="92"/>
      <c r="AF200" s="137"/>
      <c r="AG200" s="130"/>
      <c r="AH200" s="137"/>
      <c r="AI200" s="130"/>
      <c r="AJ200" s="68"/>
      <c r="AK200" s="32"/>
      <c r="AL200" s="32"/>
      <c r="AM200" s="32"/>
      <c r="AN200" s="32"/>
    </row>
    <row r="201" spans="1:40" s="64" customFormat="1" ht="15.95" customHeight="1" outlineLevel="1">
      <c r="A201" s="62"/>
      <c r="B201" s="189"/>
      <c r="D201" s="189"/>
      <c r="E201" s="196">
        <f t="shared" ref="E201:E202" si="3">+E200-1</f>
        <v>2024</v>
      </c>
      <c r="G201" s="195">
        <v>0</v>
      </c>
      <c r="I201" s="196">
        <f t="shared" si="2"/>
        <v>2020</v>
      </c>
      <c r="K201" s="195">
        <v>0</v>
      </c>
      <c r="M201" s="175"/>
      <c r="N201" s="72"/>
      <c r="O201" s="144"/>
      <c r="P201" s="125"/>
      <c r="Q201" s="125"/>
      <c r="R201" s="125"/>
      <c r="S201" s="125"/>
      <c r="T201" s="125"/>
      <c r="U201" s="129"/>
      <c r="V201" s="181"/>
      <c r="W201" s="176"/>
      <c r="X201" s="190"/>
      <c r="Y201" s="92"/>
      <c r="Z201" s="190"/>
      <c r="AA201" s="92"/>
      <c r="AB201" s="190"/>
      <c r="AC201" s="191"/>
      <c r="AD201" s="190"/>
      <c r="AE201" s="92"/>
      <c r="AF201" s="137"/>
      <c r="AG201" s="130"/>
      <c r="AH201" s="137"/>
      <c r="AI201" s="130"/>
      <c r="AJ201" s="68"/>
      <c r="AK201" s="32"/>
      <c r="AL201" s="32"/>
      <c r="AM201" s="32"/>
      <c r="AN201" s="32"/>
    </row>
    <row r="202" spans="1:40" s="64" customFormat="1" ht="15.95" customHeight="1" outlineLevel="1">
      <c r="A202" s="62"/>
      <c r="B202" s="189"/>
      <c r="D202" s="189"/>
      <c r="E202" s="196">
        <f t="shared" si="3"/>
        <v>2023</v>
      </c>
      <c r="G202" s="195">
        <v>0</v>
      </c>
      <c r="I202" s="196">
        <f t="shared" si="2"/>
        <v>2019</v>
      </c>
      <c r="K202" s="195">
        <v>0</v>
      </c>
      <c r="M202" s="175"/>
      <c r="N202" s="72"/>
      <c r="O202" s="144"/>
      <c r="P202" s="125"/>
      <c r="Q202" s="125"/>
      <c r="R202" s="125"/>
      <c r="S202" s="125"/>
      <c r="T202" s="125"/>
      <c r="U202" s="129"/>
      <c r="V202" s="181"/>
      <c r="W202" s="176"/>
      <c r="X202" s="190"/>
      <c r="Y202" s="92"/>
      <c r="Z202" s="190"/>
      <c r="AA202" s="92"/>
      <c r="AB202" s="190"/>
      <c r="AC202" s="191"/>
      <c r="AD202" s="190"/>
      <c r="AE202" s="92"/>
      <c r="AF202" s="137"/>
      <c r="AG202" s="130"/>
      <c r="AH202" s="137"/>
      <c r="AI202" s="130"/>
      <c r="AJ202" s="68"/>
      <c r="AK202" s="32"/>
      <c r="AL202" s="32"/>
      <c r="AM202" s="32"/>
      <c r="AN202" s="32"/>
    </row>
    <row r="203" spans="1:40" ht="6" customHeight="1">
      <c r="B203" s="189"/>
      <c r="D203" s="70"/>
      <c r="E203" s="70"/>
      <c r="F203" s="70"/>
      <c r="G203" s="70"/>
      <c r="H203" s="70"/>
      <c r="N203" s="71"/>
      <c r="O203" s="125"/>
      <c r="P203" s="125"/>
      <c r="Q203" s="125"/>
      <c r="R203" s="125"/>
      <c r="S203" s="125"/>
      <c r="T203" s="125"/>
      <c r="U203" s="126"/>
    </row>
    <row r="204" spans="1:40" s="64" customFormat="1" ht="15.95" customHeight="1" outlineLevel="1">
      <c r="A204" s="62">
        <v>13.2</v>
      </c>
      <c r="B204" s="121" t="s">
        <v>172</v>
      </c>
      <c r="C204" s="132"/>
      <c r="D204" s="189"/>
      <c r="M204" s="175"/>
      <c r="N204" s="72"/>
      <c r="O204" s="144"/>
      <c r="P204" s="125"/>
      <c r="Q204" s="125"/>
      <c r="R204" s="125"/>
      <c r="S204" s="125"/>
      <c r="T204" s="125"/>
      <c r="U204" s="129"/>
      <c r="V204" s="181"/>
      <c r="W204" s="176"/>
      <c r="X204" s="137"/>
      <c r="Y204" s="130"/>
      <c r="Z204" s="137"/>
      <c r="AA204" s="130"/>
      <c r="AB204" s="137"/>
      <c r="AC204" s="191"/>
      <c r="AD204" s="137"/>
      <c r="AE204" s="130"/>
      <c r="AF204" s="137"/>
      <c r="AG204" s="130"/>
      <c r="AH204" s="137"/>
      <c r="AI204" s="130"/>
      <c r="AJ204" s="68"/>
      <c r="AK204" s="32"/>
      <c r="AL204" s="32"/>
      <c r="AM204" s="32"/>
      <c r="AN204" s="32"/>
    </row>
    <row r="205" spans="1:40" s="64" customFormat="1" ht="15.95" customHeight="1" outlineLevel="1">
      <c r="A205" s="62"/>
      <c r="B205" s="197" t="b">
        <v>0</v>
      </c>
      <c r="C205" s="511" t="s">
        <v>173</v>
      </c>
      <c r="D205" s="511"/>
      <c r="E205" s="511"/>
      <c r="F205" s="511"/>
      <c r="G205" s="511"/>
      <c r="H205" s="511"/>
      <c r="I205" s="511"/>
      <c r="J205" s="511"/>
      <c r="M205" s="198">
        <f>+IF(B205,2,0)</f>
        <v>0</v>
      </c>
      <c r="N205" s="72"/>
      <c r="O205" s="144"/>
      <c r="P205" s="125"/>
      <c r="Q205" s="125"/>
      <c r="R205" s="125"/>
      <c r="S205" s="125"/>
      <c r="T205" s="125"/>
      <c r="U205" s="129"/>
      <c r="V205" s="181"/>
      <c r="W205" s="176"/>
      <c r="X205" s="190"/>
      <c r="Y205" s="92"/>
      <c r="Z205" s="190"/>
      <c r="AA205" s="92"/>
      <c r="AB205" s="190"/>
      <c r="AC205" s="191"/>
      <c r="AD205" s="190"/>
      <c r="AE205" s="92"/>
      <c r="AF205" s="137"/>
      <c r="AG205" s="130"/>
      <c r="AH205" s="137"/>
      <c r="AI205" s="130"/>
      <c r="AJ205" s="68"/>
      <c r="AK205" s="32"/>
      <c r="AL205" s="32"/>
      <c r="AM205" s="32"/>
      <c r="AN205" s="32"/>
    </row>
    <row r="206" spans="1:40" ht="6.6" customHeight="1">
      <c r="B206" s="189"/>
      <c r="D206" s="70"/>
      <c r="E206" s="70"/>
      <c r="F206" s="70"/>
      <c r="G206" s="70"/>
      <c r="H206" s="70"/>
      <c r="M206" s="199"/>
      <c r="N206" s="71"/>
      <c r="O206" s="125"/>
      <c r="P206" s="125"/>
      <c r="Q206" s="125"/>
      <c r="R206" s="125"/>
      <c r="S206" s="125"/>
      <c r="T206" s="125"/>
      <c r="U206" s="126"/>
    </row>
    <row r="207" spans="1:40" s="64" customFormat="1" ht="15.95" customHeight="1" outlineLevel="1">
      <c r="A207" s="62">
        <v>14</v>
      </c>
      <c r="B207" s="121" t="s">
        <v>52</v>
      </c>
      <c r="M207" s="200"/>
      <c r="N207" s="72"/>
      <c r="O207" s="131"/>
      <c r="P207" s="131"/>
      <c r="Q207" s="131"/>
      <c r="R207" s="131"/>
      <c r="S207" s="131"/>
      <c r="T207" s="131"/>
      <c r="U207" s="129"/>
      <c r="V207" s="91"/>
      <c r="W207" s="91"/>
      <c r="X207" s="91"/>
      <c r="Y207" s="92"/>
      <c r="Z207" s="91"/>
      <c r="AA207" s="92"/>
      <c r="AB207" s="91"/>
      <c r="AC207" s="92"/>
      <c r="AD207" s="91"/>
      <c r="AE207" s="92"/>
      <c r="AF207" s="91"/>
      <c r="AG207" s="92"/>
      <c r="AH207" s="91"/>
      <c r="AI207" s="92"/>
      <c r="AJ207" s="68"/>
      <c r="AK207" s="32"/>
      <c r="AL207" s="32"/>
      <c r="AM207" s="32"/>
      <c r="AN207" s="32"/>
    </row>
    <row r="208" spans="1:40" s="64" customFormat="1" ht="15.95" customHeight="1">
      <c r="A208" s="201">
        <v>14.1</v>
      </c>
      <c r="B208" s="195">
        <v>0</v>
      </c>
      <c r="C208" s="511" t="s">
        <v>174</v>
      </c>
      <c r="D208" s="511"/>
      <c r="E208" s="511"/>
      <c r="F208" s="511"/>
      <c r="G208" s="511"/>
      <c r="H208" s="511"/>
      <c r="I208" s="511"/>
      <c r="J208" s="511"/>
      <c r="M208" s="175">
        <f>+IF(B208&gt;Z208,AA208,IF(B208&gt;=X208,Y208,))</f>
        <v>0</v>
      </c>
      <c r="O208" s="144" t="str">
        <f>+X208&amp;"–"&amp;Z208</f>
        <v>1–20</v>
      </c>
      <c r="P208" s="125" t="str">
        <f>+"&gt;"&amp;Z208</f>
        <v>&gt;20</v>
      </c>
      <c r="Q208" s="131"/>
      <c r="R208" s="131"/>
      <c r="S208" s="131"/>
      <c r="T208" s="131"/>
      <c r="U208" s="129"/>
      <c r="V208" s="91"/>
      <c r="W208" s="91"/>
      <c r="X208" s="91">
        <v>1</v>
      </c>
      <c r="Y208" s="92">
        <v>0.5</v>
      </c>
      <c r="Z208" s="91">
        <v>20</v>
      </c>
      <c r="AA208" s="92">
        <v>1</v>
      </c>
      <c r="AB208" s="91"/>
      <c r="AC208" s="92"/>
      <c r="AD208" s="91"/>
      <c r="AE208" s="92"/>
      <c r="AF208" s="91"/>
      <c r="AG208" s="92"/>
      <c r="AH208" s="91"/>
      <c r="AI208" s="92"/>
      <c r="AJ208" s="68"/>
      <c r="AK208" s="32"/>
      <c r="AL208" s="32"/>
      <c r="AM208" s="32"/>
      <c r="AN208" s="32"/>
    </row>
    <row r="209" spans="1:40" s="64" customFormat="1" ht="4.5" customHeight="1" outlineLevel="1">
      <c r="D209" s="189"/>
      <c r="M209" s="200"/>
      <c r="N209" s="72"/>
      <c r="O209" s="144"/>
      <c r="P209" s="125"/>
      <c r="Q209" s="125"/>
      <c r="R209" s="125"/>
      <c r="S209" s="125"/>
      <c r="T209" s="125"/>
      <c r="U209" s="129"/>
      <c r="V209" s="181"/>
      <c r="W209" s="176"/>
      <c r="X209" s="91"/>
      <c r="Y209" s="92"/>
      <c r="Z209" s="91"/>
      <c r="AA209" s="92"/>
      <c r="AB209" s="91"/>
      <c r="AC209" s="92"/>
      <c r="AD209" s="91"/>
      <c r="AE209" s="92"/>
      <c r="AF209" s="137"/>
      <c r="AG209" s="130"/>
      <c r="AH209" s="137"/>
      <c r="AI209" s="130"/>
      <c r="AJ209" s="68"/>
      <c r="AK209" s="32"/>
      <c r="AL209" s="32"/>
      <c r="AM209" s="32"/>
      <c r="AN209" s="32"/>
    </row>
    <row r="210" spans="1:40" s="64" customFormat="1" ht="15.95" customHeight="1">
      <c r="A210" s="62">
        <v>14.2</v>
      </c>
      <c r="B210" s="195">
        <v>0</v>
      </c>
      <c r="C210" s="511" t="s">
        <v>175</v>
      </c>
      <c r="D210" s="511"/>
      <c r="E210" s="511"/>
      <c r="F210" s="511"/>
      <c r="G210" s="511"/>
      <c r="H210" s="511"/>
      <c r="I210" s="511"/>
      <c r="J210" s="511"/>
      <c r="M210" s="175">
        <f>+IF(B210&gt;Z210,AA210,IF(B210&gt;=X210,Y210,))</f>
        <v>0</v>
      </c>
      <c r="O210" s="144" t="str">
        <f>+X210&amp;"–"&amp;Z210</f>
        <v>11–30</v>
      </c>
      <c r="P210" s="125" t="str">
        <f>+"&gt;"&amp;Z210</f>
        <v>&gt;30</v>
      </c>
      <c r="Q210" s="131"/>
      <c r="R210" s="131"/>
      <c r="S210" s="131"/>
      <c r="T210" s="131"/>
      <c r="U210" s="129"/>
      <c r="V210" s="91"/>
      <c r="W210" s="91"/>
      <c r="X210" s="91">
        <v>11</v>
      </c>
      <c r="Y210" s="92">
        <v>0.5</v>
      </c>
      <c r="Z210" s="91">
        <v>30</v>
      </c>
      <c r="AA210" s="92">
        <v>1</v>
      </c>
      <c r="AB210" s="91"/>
      <c r="AC210" s="92"/>
      <c r="AD210" s="91"/>
      <c r="AE210" s="92"/>
      <c r="AF210" s="91"/>
      <c r="AG210" s="92"/>
      <c r="AH210" s="91"/>
      <c r="AI210" s="92"/>
      <c r="AJ210" s="68"/>
      <c r="AK210" s="32"/>
      <c r="AL210" s="32"/>
      <c r="AM210" s="32"/>
      <c r="AN210" s="32"/>
    </row>
    <row r="211" spans="1:40" ht="6.6" customHeight="1">
      <c r="D211" s="70"/>
      <c r="E211" s="70"/>
      <c r="F211" s="70"/>
      <c r="G211" s="70"/>
      <c r="H211" s="70"/>
      <c r="L211" s="70"/>
      <c r="M211" s="199"/>
      <c r="N211" s="69"/>
      <c r="O211" s="125"/>
      <c r="P211" s="125"/>
      <c r="Q211" s="125"/>
      <c r="R211" s="125"/>
      <c r="S211" s="125"/>
      <c r="T211" s="125"/>
      <c r="U211" s="126"/>
    </row>
    <row r="212" spans="1:40" s="64" customFormat="1" ht="15.95" customHeight="1">
      <c r="A212" s="62">
        <v>14.3</v>
      </c>
      <c r="B212" s="139">
        <v>0</v>
      </c>
      <c r="C212" s="64" t="s">
        <v>116</v>
      </c>
      <c r="M212" s="175">
        <f>+IF(B212&gt;Z212,AA212,IF(B212&gt;=X212,Y212,))</f>
        <v>0</v>
      </c>
      <c r="O212" s="144" t="str">
        <f>+X212&amp;"–"&amp;Z212</f>
        <v>10–20</v>
      </c>
      <c r="P212" s="125" t="str">
        <f>+"&gt;"&amp;Z212</f>
        <v>&gt;20</v>
      </c>
      <c r="Q212" s="131"/>
      <c r="R212" s="131"/>
      <c r="S212" s="131"/>
      <c r="T212" s="131"/>
      <c r="U212" s="129"/>
      <c r="V212" s="91"/>
      <c r="W212" s="91"/>
      <c r="X212" s="91">
        <v>10</v>
      </c>
      <c r="Y212" s="92">
        <v>0.5</v>
      </c>
      <c r="Z212" s="91">
        <v>20</v>
      </c>
      <c r="AA212" s="92">
        <v>1</v>
      </c>
      <c r="AB212" s="91"/>
      <c r="AC212" s="92"/>
      <c r="AD212" s="91"/>
      <c r="AE212" s="92"/>
      <c r="AF212" s="91"/>
      <c r="AG212" s="92"/>
      <c r="AH212" s="91"/>
      <c r="AI212" s="92"/>
      <c r="AJ212" s="68"/>
      <c r="AK212" s="32"/>
      <c r="AL212" s="32"/>
      <c r="AM212" s="32"/>
      <c r="AN212" s="32"/>
    </row>
    <row r="213" spans="1:40" ht="6" customHeight="1">
      <c r="D213" s="70"/>
      <c r="E213" s="70"/>
      <c r="F213" s="70"/>
      <c r="G213" s="70"/>
      <c r="H213" s="70"/>
      <c r="N213" s="71"/>
      <c r="O213" s="125"/>
      <c r="P213" s="125"/>
      <c r="Q213" s="125"/>
      <c r="R213" s="125"/>
      <c r="S213" s="125"/>
      <c r="T213" s="125"/>
      <c r="U213" s="126"/>
    </row>
    <row r="214" spans="1:40" s="64" customFormat="1" ht="15.95" customHeight="1" outlineLevel="1">
      <c r="A214" s="62">
        <v>15</v>
      </c>
      <c r="B214" s="121" t="s">
        <v>176</v>
      </c>
      <c r="E214" s="121"/>
      <c r="F214" s="121"/>
      <c r="G214" s="121"/>
      <c r="H214" s="121"/>
      <c r="I214" s="121"/>
      <c r="J214" s="121"/>
      <c r="K214" s="121"/>
      <c r="L214" s="121"/>
      <c r="M214" s="202"/>
      <c r="N214" s="72"/>
      <c r="O214" s="203"/>
      <c r="P214" s="203"/>
      <c r="Q214" s="203"/>
      <c r="R214" s="203"/>
      <c r="S214" s="203"/>
      <c r="T214" s="203"/>
      <c r="U214" s="204"/>
      <c r="V214" s="205"/>
      <c r="W214" s="205"/>
      <c r="X214" s="91"/>
      <c r="Y214" s="92"/>
      <c r="Z214" s="91"/>
      <c r="AA214" s="92"/>
      <c r="AB214" s="91"/>
      <c r="AC214" s="92"/>
      <c r="AD214" s="91"/>
      <c r="AE214" s="92"/>
      <c r="AF214" s="91"/>
      <c r="AG214" s="92"/>
      <c r="AH214" s="91"/>
      <c r="AI214" s="92"/>
      <c r="AJ214" s="68"/>
      <c r="AK214" s="32"/>
      <c r="AL214" s="32"/>
      <c r="AM214" s="32"/>
      <c r="AN214" s="32"/>
    </row>
    <row r="215" spans="1:40" s="64" customFormat="1" ht="15.95" customHeight="1" outlineLevel="1">
      <c r="C215" s="64" t="s">
        <v>76</v>
      </c>
      <c r="M215" s="72"/>
      <c r="N215" s="72"/>
      <c r="O215" s="131"/>
      <c r="P215" s="131"/>
      <c r="Q215" s="131"/>
      <c r="R215" s="131"/>
      <c r="S215" s="131"/>
      <c r="T215" s="131"/>
      <c r="U215" s="129"/>
      <c r="V215" s="91"/>
      <c r="W215" s="91"/>
      <c r="X215" s="91"/>
      <c r="Y215" s="92"/>
      <c r="Z215" s="91"/>
      <c r="AA215" s="92"/>
      <c r="AB215" s="91"/>
      <c r="AC215" s="92"/>
      <c r="AD215" s="91"/>
      <c r="AE215" s="92"/>
      <c r="AF215" s="91"/>
      <c r="AG215" s="92"/>
      <c r="AH215" s="91"/>
      <c r="AI215" s="92"/>
      <c r="AJ215" s="68"/>
      <c r="AK215" s="32"/>
      <c r="AL215" s="32"/>
      <c r="AM215" s="32"/>
      <c r="AN215" s="32"/>
    </row>
    <row r="216" spans="1:40" s="64" customFormat="1" ht="15.95" customHeight="1" outlineLevel="1">
      <c r="C216" s="64" t="s">
        <v>75</v>
      </c>
      <c r="M216" s="72"/>
      <c r="N216" s="72"/>
      <c r="O216" s="131"/>
      <c r="P216" s="131"/>
      <c r="Q216" s="131"/>
      <c r="R216" s="131"/>
      <c r="S216" s="131"/>
      <c r="T216" s="131"/>
      <c r="U216" s="129"/>
      <c r="V216" s="91"/>
      <c r="W216" s="91"/>
      <c r="X216" s="91"/>
      <c r="Y216" s="92"/>
      <c r="Z216" s="91"/>
      <c r="AA216" s="92"/>
      <c r="AB216" s="91"/>
      <c r="AC216" s="92"/>
      <c r="AD216" s="91"/>
      <c r="AE216" s="92"/>
      <c r="AF216" s="91"/>
      <c r="AG216" s="92"/>
      <c r="AH216" s="91"/>
      <c r="AI216" s="92"/>
      <c r="AJ216" s="68"/>
      <c r="AK216" s="32"/>
      <c r="AL216" s="32"/>
      <c r="AM216" s="32"/>
      <c r="AN216" s="32"/>
    </row>
    <row r="217" spans="1:40" s="64" customFormat="1" ht="15.95" customHeight="1" outlineLevel="1">
      <c r="A217" s="62"/>
      <c r="C217" s="64" t="s">
        <v>19</v>
      </c>
      <c r="M217" s="206">
        <v>0</v>
      </c>
      <c r="N217" s="72"/>
      <c r="O217" s="125"/>
      <c r="P217" s="125"/>
      <c r="Q217" s="125"/>
      <c r="R217" s="125"/>
      <c r="S217" s="125"/>
      <c r="T217" s="125"/>
      <c r="U217" s="129"/>
      <c r="V217" s="91"/>
      <c r="W217" s="91"/>
      <c r="X217" s="91"/>
      <c r="Y217" s="92"/>
      <c r="Z217" s="91"/>
      <c r="AA217" s="92"/>
      <c r="AB217" s="91"/>
      <c r="AC217" s="92"/>
      <c r="AD217" s="91"/>
      <c r="AE217" s="92"/>
      <c r="AF217" s="91"/>
      <c r="AG217" s="92"/>
      <c r="AH217" s="91"/>
      <c r="AI217" s="92"/>
      <c r="AJ217" s="68"/>
      <c r="AK217" s="32"/>
      <c r="AL217" s="32"/>
      <c r="AM217" s="32"/>
      <c r="AN217" s="32"/>
    </row>
    <row r="218" spans="1:40" s="64" customFormat="1" ht="6" customHeight="1" outlineLevel="1">
      <c r="A218" s="62"/>
      <c r="M218" s="124"/>
      <c r="N218" s="72"/>
      <c r="O218" s="125"/>
      <c r="P218" s="125"/>
      <c r="Q218" s="125"/>
      <c r="R218" s="125"/>
      <c r="S218" s="125"/>
      <c r="T218" s="125"/>
      <c r="U218" s="129"/>
      <c r="V218" s="91"/>
      <c r="W218" s="91"/>
      <c r="X218" s="91"/>
      <c r="Y218" s="92"/>
      <c r="Z218" s="91"/>
      <c r="AA218" s="92"/>
      <c r="AB218" s="91"/>
      <c r="AC218" s="92"/>
      <c r="AD218" s="91"/>
      <c r="AE218" s="92"/>
      <c r="AF218" s="91"/>
      <c r="AG218" s="92"/>
      <c r="AH218" s="91"/>
      <c r="AI218" s="92"/>
      <c r="AJ218" s="68"/>
      <c r="AL218" s="32"/>
      <c r="AM218" s="32"/>
      <c r="AN218" s="32"/>
    </row>
    <row r="219" spans="1:40" s="64" customFormat="1" ht="15.95" customHeight="1" outlineLevel="1">
      <c r="A219" s="62">
        <v>16</v>
      </c>
      <c r="B219" s="64" t="s">
        <v>404</v>
      </c>
      <c r="I219" s="90"/>
      <c r="M219" s="175">
        <f>+Pkt_Hofplus</f>
        <v>0</v>
      </c>
      <c r="N219" s="72"/>
      <c r="O219" s="125"/>
      <c r="P219" s="125"/>
      <c r="Q219" s="125"/>
      <c r="R219" s="125"/>
      <c r="S219" s="125"/>
      <c r="T219" s="125"/>
      <c r="U219" s="129"/>
      <c r="V219" s="91"/>
      <c r="W219" s="91"/>
      <c r="X219" s="91"/>
      <c r="Y219" s="92"/>
      <c r="Z219" s="91"/>
      <c r="AA219" s="92"/>
      <c r="AB219" s="91"/>
      <c r="AC219" s="92"/>
      <c r="AD219" s="91"/>
      <c r="AE219" s="92"/>
      <c r="AF219" s="91"/>
      <c r="AG219" s="92"/>
      <c r="AH219" s="91"/>
      <c r="AI219" s="92"/>
      <c r="AJ219" s="68"/>
      <c r="AL219" s="32"/>
      <c r="AM219" s="32"/>
      <c r="AN219" s="32"/>
    </row>
    <row r="220" spans="1:40" s="64" customFormat="1" ht="6" customHeight="1" outlineLevel="1">
      <c r="A220" s="62"/>
      <c r="B220" s="89"/>
      <c r="C220" s="72"/>
      <c r="D220" s="72"/>
      <c r="E220" s="72"/>
      <c r="F220" s="72"/>
      <c r="G220" s="72"/>
      <c r="H220" s="72"/>
      <c r="I220" s="72"/>
      <c r="J220" s="72"/>
      <c r="K220" s="72"/>
      <c r="L220" s="72"/>
      <c r="M220" s="72"/>
      <c r="N220" s="72"/>
      <c r="O220" s="125"/>
      <c r="P220" s="125"/>
      <c r="Q220" s="125"/>
      <c r="R220" s="125"/>
      <c r="S220" s="125"/>
      <c r="T220" s="125"/>
      <c r="U220" s="129"/>
      <c r="V220" s="91"/>
      <c r="W220" s="91"/>
      <c r="X220" s="91"/>
      <c r="Y220" s="92"/>
      <c r="Z220" s="91"/>
      <c r="AA220" s="92"/>
      <c r="AB220" s="91"/>
      <c r="AC220" s="92"/>
      <c r="AD220" s="91"/>
      <c r="AE220" s="92"/>
      <c r="AF220" s="91"/>
      <c r="AG220" s="92"/>
      <c r="AH220" s="91"/>
      <c r="AI220" s="92"/>
      <c r="AJ220" s="68"/>
      <c r="AL220" s="32"/>
      <c r="AM220" s="32"/>
      <c r="AN220" s="32"/>
    </row>
    <row r="221" spans="1:40" s="64" customFormat="1" ht="15.95" customHeight="1" outlineLevel="1">
      <c r="A221" s="62">
        <v>17</v>
      </c>
      <c r="B221" s="64" t="s">
        <v>405</v>
      </c>
      <c r="C221" s="132"/>
      <c r="G221" s="154"/>
      <c r="M221" s="163">
        <f>Gemüse!G81</f>
        <v>0</v>
      </c>
      <c r="N221" s="72"/>
      <c r="O221" s="125"/>
      <c r="P221" s="125"/>
      <c r="Q221" s="125"/>
      <c r="R221" s="125"/>
      <c r="S221" s="125"/>
      <c r="T221" s="125"/>
      <c r="U221" s="129"/>
      <c r="V221" s="91"/>
      <c r="W221" s="91"/>
      <c r="X221" s="91"/>
      <c r="Y221" s="92"/>
      <c r="Z221" s="91"/>
      <c r="AA221" s="92"/>
      <c r="AB221" s="91"/>
      <c r="AC221" s="92"/>
      <c r="AD221" s="91"/>
      <c r="AE221" s="92"/>
      <c r="AF221" s="91"/>
      <c r="AG221" s="92"/>
      <c r="AH221" s="91"/>
      <c r="AI221" s="92"/>
      <c r="AK221" s="32"/>
      <c r="AL221" s="32"/>
      <c r="AM221" s="32"/>
      <c r="AN221" s="32"/>
    </row>
    <row r="222" spans="1:40" s="64" customFormat="1" ht="6" customHeight="1" outlineLevel="1">
      <c r="A222" s="72"/>
      <c r="B222" s="89"/>
      <c r="C222" s="72"/>
      <c r="D222" s="72"/>
      <c r="E222" s="72"/>
      <c r="F222" s="72"/>
      <c r="G222" s="72"/>
      <c r="H222" s="72"/>
      <c r="I222" s="72"/>
      <c r="J222" s="72"/>
      <c r="K222" s="72"/>
      <c r="L222" s="72"/>
      <c r="M222" s="72"/>
      <c r="N222" s="72"/>
      <c r="O222" s="125"/>
      <c r="P222" s="125"/>
      <c r="Q222" s="125"/>
      <c r="R222" s="125"/>
      <c r="S222" s="125"/>
      <c r="T222" s="125"/>
      <c r="U222" s="129"/>
      <c r="V222" s="91"/>
      <c r="W222" s="91"/>
      <c r="X222" s="91"/>
      <c r="Y222" s="92"/>
      <c r="Z222" s="91"/>
      <c r="AA222" s="92"/>
      <c r="AB222" s="91"/>
      <c r="AC222" s="92"/>
      <c r="AD222" s="91"/>
      <c r="AE222" s="92"/>
      <c r="AF222" s="91"/>
      <c r="AG222" s="92"/>
      <c r="AH222" s="91"/>
      <c r="AI222" s="92"/>
      <c r="AL222" s="32"/>
      <c r="AM222" s="32"/>
      <c r="AN222" s="32"/>
    </row>
    <row r="223" spans="1:40" s="64" customFormat="1" ht="15.95" customHeight="1" outlineLevel="1">
      <c r="A223" s="62">
        <v>18</v>
      </c>
      <c r="B223" s="64" t="s">
        <v>406</v>
      </c>
      <c r="C223" s="132"/>
      <c r="I223" s="154"/>
      <c r="M223" s="163">
        <f>+Reben!E30</f>
        <v>0</v>
      </c>
      <c r="N223" s="72"/>
      <c r="O223" s="125"/>
      <c r="P223" s="125"/>
      <c r="Q223" s="125"/>
      <c r="R223" s="125"/>
      <c r="S223" s="125"/>
      <c r="T223" s="125"/>
      <c r="U223" s="129"/>
      <c r="V223" s="91"/>
      <c r="W223" s="91"/>
      <c r="X223" s="91"/>
      <c r="Y223" s="92"/>
      <c r="Z223" s="91"/>
      <c r="AA223" s="92"/>
      <c r="AB223" s="91"/>
      <c r="AC223" s="92"/>
      <c r="AD223" s="91"/>
      <c r="AE223" s="92"/>
      <c r="AF223" s="91"/>
      <c r="AG223" s="92"/>
      <c r="AH223" s="91"/>
      <c r="AI223" s="92"/>
      <c r="AK223" s="32"/>
      <c r="AL223" s="32"/>
      <c r="AM223" s="32"/>
      <c r="AN223" s="32"/>
    </row>
    <row r="224" spans="1:40" ht="6" customHeight="1">
      <c r="A224" s="524"/>
      <c r="B224" s="524"/>
      <c r="C224" s="524"/>
      <c r="D224" s="524"/>
      <c r="E224" s="524"/>
      <c r="F224" s="524"/>
      <c r="G224" s="524"/>
      <c r="H224" s="524"/>
      <c r="I224" s="524"/>
      <c r="J224" s="524"/>
      <c r="K224" s="524"/>
      <c r="L224" s="524"/>
      <c r="M224" s="524"/>
      <c r="N224" s="524"/>
      <c r="O224" s="125"/>
      <c r="P224" s="125"/>
      <c r="Q224" s="125"/>
      <c r="R224" s="125"/>
      <c r="S224" s="125"/>
      <c r="T224" s="125"/>
      <c r="U224" s="126"/>
    </row>
    <row r="225" spans="1:40" s="46" customFormat="1">
      <c r="A225" s="45" t="s">
        <v>166</v>
      </c>
      <c r="C225" s="45"/>
      <c r="K225" s="207"/>
      <c r="N225" s="208">
        <f>+SUM(M191:M224)</f>
        <v>0</v>
      </c>
      <c r="O225" s="49"/>
      <c r="P225" s="49"/>
      <c r="Q225" s="49"/>
      <c r="R225" s="49"/>
      <c r="S225" s="49"/>
      <c r="T225" s="49"/>
      <c r="U225" s="178"/>
      <c r="V225" s="50"/>
      <c r="W225" s="50"/>
      <c r="X225" s="51"/>
      <c r="Y225" s="52"/>
      <c r="Z225" s="51"/>
      <c r="AA225" s="52"/>
      <c r="AB225" s="51"/>
      <c r="AC225" s="52"/>
      <c r="AD225" s="51"/>
      <c r="AE225" s="52"/>
      <c r="AF225" s="51"/>
      <c r="AG225" s="52"/>
      <c r="AH225" s="51"/>
      <c r="AI225" s="52"/>
      <c r="AJ225" s="53"/>
      <c r="AK225" s="53"/>
      <c r="AL225" s="54"/>
      <c r="AM225" s="54"/>
      <c r="AN225" s="54"/>
    </row>
    <row r="226" spans="1:40" ht="6" customHeight="1">
      <c r="A226" s="524"/>
      <c r="B226" s="524"/>
      <c r="C226" s="524"/>
      <c r="D226" s="524"/>
      <c r="E226" s="524"/>
      <c r="F226" s="524"/>
      <c r="G226" s="524"/>
      <c r="H226" s="524"/>
      <c r="I226" s="524"/>
      <c r="J226" s="524"/>
      <c r="K226" s="524"/>
      <c r="L226" s="524"/>
      <c r="M226" s="524"/>
      <c r="N226" s="524"/>
      <c r="O226" s="125"/>
      <c r="P226" s="125"/>
      <c r="Q226" s="125"/>
      <c r="R226" s="125"/>
      <c r="S226" s="125"/>
      <c r="T226" s="125"/>
      <c r="U226" s="126"/>
    </row>
    <row r="227" spans="1:40" ht="15.95" customHeight="1">
      <c r="A227" s="64" t="s">
        <v>111</v>
      </c>
      <c r="C227" s="523"/>
      <c r="D227" s="523"/>
      <c r="E227" s="523"/>
      <c r="F227" s="523"/>
      <c r="G227" s="523"/>
      <c r="H227" s="523"/>
      <c r="I227" s="523"/>
      <c r="J227" s="523"/>
      <c r="K227" s="523"/>
      <c r="L227" s="523"/>
      <c r="M227" s="523"/>
      <c r="N227" s="523"/>
      <c r="O227" s="523"/>
      <c r="P227" s="523"/>
      <c r="Q227" s="523"/>
      <c r="R227" s="523"/>
      <c r="S227" s="523"/>
      <c r="T227" s="523"/>
      <c r="U227" s="523"/>
    </row>
    <row r="228" spans="1:40" ht="15.95" customHeight="1">
      <c r="A228" s="64"/>
      <c r="C228" s="523"/>
      <c r="D228" s="523"/>
      <c r="E228" s="523"/>
      <c r="F228" s="523"/>
      <c r="G228" s="523"/>
      <c r="H228" s="523"/>
      <c r="I228" s="523"/>
      <c r="J228" s="523"/>
      <c r="K228" s="523"/>
      <c r="L228" s="523"/>
      <c r="M228" s="523"/>
      <c r="N228" s="523"/>
      <c r="O228" s="523"/>
      <c r="P228" s="523"/>
      <c r="Q228" s="523"/>
      <c r="R228" s="523"/>
      <c r="S228" s="523"/>
      <c r="T228" s="523"/>
      <c r="U228" s="523"/>
    </row>
    <row r="229" spans="1:40" ht="15.95" customHeight="1">
      <c r="A229" s="64"/>
      <c r="C229" s="523"/>
      <c r="D229" s="523"/>
      <c r="E229" s="523"/>
      <c r="F229" s="523"/>
      <c r="G229" s="523"/>
      <c r="H229" s="523"/>
      <c r="I229" s="523"/>
      <c r="J229" s="523"/>
      <c r="K229" s="523"/>
      <c r="L229" s="523"/>
      <c r="M229" s="523"/>
      <c r="N229" s="523"/>
      <c r="O229" s="523"/>
      <c r="P229" s="523"/>
      <c r="Q229" s="523"/>
      <c r="R229" s="523"/>
      <c r="S229" s="523"/>
      <c r="T229" s="523"/>
      <c r="U229" s="523"/>
    </row>
    <row r="230" spans="1:40" ht="15.95" customHeight="1">
      <c r="A230" s="69"/>
      <c r="C230" s="523"/>
      <c r="D230" s="523"/>
      <c r="E230" s="523"/>
      <c r="F230" s="523"/>
      <c r="G230" s="523"/>
      <c r="H230" s="523"/>
      <c r="I230" s="523"/>
      <c r="J230" s="523"/>
      <c r="K230" s="523"/>
      <c r="L230" s="523"/>
      <c r="M230" s="523"/>
      <c r="N230" s="523"/>
      <c r="O230" s="523"/>
      <c r="P230" s="523"/>
      <c r="Q230" s="523"/>
      <c r="R230" s="523"/>
      <c r="S230" s="523"/>
      <c r="T230" s="523"/>
      <c r="U230" s="523"/>
    </row>
    <row r="231" spans="1:40" ht="6" customHeight="1">
      <c r="A231" s="524"/>
      <c r="B231" s="524"/>
      <c r="C231" s="524"/>
      <c r="D231" s="524"/>
      <c r="E231" s="524"/>
      <c r="F231" s="524"/>
      <c r="G231" s="524"/>
      <c r="H231" s="524"/>
      <c r="I231" s="524"/>
      <c r="J231" s="524"/>
      <c r="K231" s="524"/>
      <c r="L231" s="524"/>
      <c r="M231" s="524"/>
      <c r="N231" s="524"/>
      <c r="O231" s="524"/>
      <c r="P231" s="524"/>
      <c r="Q231" s="524"/>
      <c r="R231" s="524"/>
      <c r="S231" s="524"/>
      <c r="T231" s="524"/>
      <c r="U231" s="524"/>
    </row>
    <row r="232" spans="1:40" s="20" customFormat="1" ht="24.95" customHeight="1">
      <c r="A232" s="15" t="s">
        <v>4</v>
      </c>
      <c r="B232" s="16"/>
      <c r="C232" s="16"/>
      <c r="D232" s="16"/>
      <c r="E232" s="15"/>
      <c r="F232" s="15"/>
      <c r="G232" s="15"/>
      <c r="H232" s="15"/>
      <c r="I232" s="16"/>
      <c r="J232" s="16"/>
      <c r="K232" s="16"/>
      <c r="L232" s="15"/>
      <c r="M232" s="17" t="s">
        <v>74</v>
      </c>
      <c r="N232" s="18">
        <f>+N128+N160+N188+N225</f>
        <v>0</v>
      </c>
      <c r="O232" s="15"/>
      <c r="P232" s="15" t="s">
        <v>188</v>
      </c>
      <c r="Q232" s="18"/>
      <c r="R232" s="19"/>
      <c r="S232" s="19"/>
      <c r="T232" s="19"/>
      <c r="V232" s="21"/>
      <c r="W232" s="21"/>
      <c r="X232" s="22"/>
      <c r="Y232" s="23"/>
      <c r="Z232" s="22"/>
      <c r="AA232" s="23"/>
      <c r="AB232" s="22"/>
      <c r="AC232" s="23"/>
      <c r="AD232" s="22"/>
      <c r="AE232" s="23"/>
      <c r="AF232" s="22"/>
      <c r="AG232" s="23"/>
      <c r="AH232" s="22"/>
      <c r="AI232" s="23"/>
      <c r="AJ232" s="24"/>
      <c r="AK232" s="25"/>
      <c r="AL232" s="25"/>
      <c r="AM232" s="25"/>
      <c r="AN232" s="25"/>
    </row>
    <row r="233" spans="1:40" ht="6" customHeight="1">
      <c r="A233" s="524"/>
      <c r="B233" s="524"/>
      <c r="C233" s="524"/>
      <c r="D233" s="524"/>
      <c r="E233" s="524"/>
      <c r="F233" s="524"/>
      <c r="G233" s="524"/>
      <c r="H233" s="524"/>
      <c r="I233" s="524"/>
      <c r="J233" s="524"/>
      <c r="K233" s="524"/>
      <c r="L233" s="524"/>
      <c r="M233" s="524"/>
      <c r="N233" s="524"/>
      <c r="O233" s="524"/>
      <c r="P233" s="524"/>
      <c r="Q233" s="524"/>
      <c r="R233" s="524"/>
      <c r="S233" s="524"/>
      <c r="T233" s="524"/>
      <c r="U233" s="524"/>
    </row>
    <row r="234" spans="1:40" ht="15.95" customHeight="1">
      <c r="A234" s="525" t="s">
        <v>482</v>
      </c>
      <c r="B234" s="525"/>
      <c r="C234" s="525"/>
      <c r="D234" s="525"/>
      <c r="E234" s="525"/>
      <c r="F234" s="525"/>
      <c r="G234" s="525"/>
      <c r="H234" s="525"/>
      <c r="I234" s="525"/>
      <c r="J234" s="525"/>
      <c r="K234" s="525"/>
      <c r="L234" s="525"/>
      <c r="M234" s="525"/>
      <c r="N234" s="525"/>
      <c r="O234" s="525"/>
      <c r="P234" s="525"/>
      <c r="Q234" s="525"/>
      <c r="R234" s="525"/>
      <c r="S234" s="525"/>
      <c r="T234" s="525"/>
      <c r="U234" s="525"/>
    </row>
    <row r="235" spans="1:40" s="74" customFormat="1" ht="15.95" customHeight="1">
      <c r="A235" s="201"/>
      <c r="M235" s="209"/>
      <c r="N235" s="128"/>
      <c r="O235" s="209"/>
      <c r="P235" s="209"/>
      <c r="Q235" s="209"/>
      <c r="R235" s="209"/>
      <c r="S235" s="209"/>
      <c r="T235" s="209"/>
      <c r="U235" s="210"/>
      <c r="V235" s="211"/>
      <c r="W235" s="211"/>
      <c r="X235" s="212"/>
      <c r="Y235" s="213"/>
      <c r="Z235" s="212"/>
      <c r="AA235" s="213"/>
      <c r="AB235" s="212"/>
      <c r="AC235" s="213"/>
      <c r="AD235" s="212"/>
      <c r="AE235" s="213"/>
      <c r="AF235" s="212"/>
      <c r="AG235" s="213"/>
      <c r="AH235" s="212"/>
      <c r="AI235" s="213"/>
      <c r="AJ235" s="73"/>
    </row>
    <row r="236" spans="1:40" s="74" customFormat="1" ht="15.95" customHeight="1">
      <c r="A236" s="201"/>
      <c r="M236" s="209"/>
      <c r="N236" s="128"/>
      <c r="O236" s="209"/>
      <c r="P236" s="209"/>
      <c r="Q236" s="209"/>
      <c r="R236" s="209"/>
      <c r="S236" s="209"/>
      <c r="T236" s="209"/>
      <c r="U236" s="210"/>
      <c r="V236" s="211"/>
      <c r="W236" s="211"/>
      <c r="X236" s="212"/>
      <c r="Y236" s="213"/>
      <c r="Z236" s="212"/>
      <c r="AA236" s="213"/>
      <c r="AB236" s="212"/>
      <c r="AC236" s="213"/>
      <c r="AD236" s="212"/>
      <c r="AE236" s="213"/>
      <c r="AF236" s="212"/>
      <c r="AG236" s="213"/>
      <c r="AH236" s="212"/>
      <c r="AI236" s="213"/>
      <c r="AJ236" s="73"/>
    </row>
    <row r="237" spans="1:40" s="74" customFormat="1" ht="15.95" customHeight="1">
      <c r="A237" s="201"/>
      <c r="M237" s="209"/>
      <c r="N237" s="128"/>
      <c r="O237" s="209"/>
      <c r="P237" s="209"/>
      <c r="Q237" s="209"/>
      <c r="R237" s="209"/>
      <c r="S237" s="209"/>
      <c r="T237" s="209"/>
      <c r="U237" s="210"/>
      <c r="V237" s="211"/>
      <c r="W237" s="211"/>
      <c r="X237" s="212"/>
      <c r="Y237" s="213"/>
      <c r="Z237" s="212"/>
      <c r="AA237" s="213"/>
      <c r="AB237" s="212"/>
      <c r="AC237" s="213"/>
      <c r="AD237" s="212"/>
      <c r="AE237" s="213"/>
      <c r="AF237" s="212"/>
      <c r="AG237" s="213"/>
      <c r="AH237" s="212"/>
      <c r="AI237" s="213"/>
      <c r="AJ237" s="73"/>
    </row>
    <row r="238" spans="1:40" s="74" customFormat="1" ht="15.95" customHeight="1">
      <c r="A238" s="201"/>
      <c r="M238" s="209"/>
      <c r="N238" s="128"/>
      <c r="O238" s="209"/>
      <c r="P238" s="209"/>
      <c r="Q238" s="209"/>
      <c r="R238" s="209"/>
      <c r="S238" s="209"/>
      <c r="T238" s="209"/>
      <c r="U238" s="210"/>
      <c r="V238" s="211"/>
      <c r="W238" s="211"/>
      <c r="X238" s="212"/>
      <c r="Y238" s="213"/>
      <c r="Z238" s="212"/>
      <c r="AA238" s="213"/>
      <c r="AB238" s="212"/>
      <c r="AC238" s="213"/>
      <c r="AD238" s="212"/>
      <c r="AE238" s="213"/>
      <c r="AF238" s="212"/>
      <c r="AG238" s="213"/>
      <c r="AH238" s="212"/>
      <c r="AI238" s="213"/>
      <c r="AJ238" s="73"/>
    </row>
    <row r="239" spans="1:40" s="74" customFormat="1" ht="15.95" customHeight="1">
      <c r="A239" s="201"/>
      <c r="M239" s="209"/>
      <c r="N239" s="128"/>
      <c r="O239" s="209"/>
      <c r="P239" s="209"/>
      <c r="Q239" s="209"/>
      <c r="R239" s="209"/>
      <c r="S239" s="209"/>
      <c r="T239" s="209"/>
      <c r="U239" s="210"/>
      <c r="V239" s="211"/>
      <c r="W239" s="211"/>
      <c r="X239" s="212"/>
      <c r="Y239" s="213"/>
      <c r="Z239" s="212"/>
      <c r="AA239" s="213"/>
      <c r="AB239" s="212"/>
      <c r="AC239" s="213"/>
      <c r="AD239" s="212"/>
      <c r="AE239" s="213"/>
      <c r="AF239" s="212"/>
      <c r="AG239" s="213"/>
      <c r="AH239" s="212"/>
      <c r="AI239" s="213"/>
      <c r="AJ239" s="73"/>
    </row>
    <row r="240" spans="1:40" s="74" customFormat="1" ht="15.95" customHeight="1">
      <c r="A240" s="201"/>
      <c r="M240" s="209"/>
      <c r="N240" s="128"/>
      <c r="O240" s="209"/>
      <c r="P240" s="209"/>
      <c r="Q240" s="209"/>
      <c r="R240" s="209"/>
      <c r="S240" s="209"/>
      <c r="T240" s="209"/>
      <c r="U240" s="210"/>
      <c r="V240" s="211"/>
      <c r="W240" s="211"/>
      <c r="X240" s="212"/>
      <c r="Y240" s="213"/>
      <c r="Z240" s="212"/>
      <c r="AA240" s="213"/>
      <c r="AB240" s="212"/>
      <c r="AC240" s="213"/>
      <c r="AD240" s="212"/>
      <c r="AE240" s="213"/>
      <c r="AF240" s="212"/>
      <c r="AG240" s="213"/>
      <c r="AH240" s="212"/>
      <c r="AI240" s="213"/>
      <c r="AJ240" s="73"/>
    </row>
    <row r="241" spans="1:36" s="74" customFormat="1" ht="15.95" customHeight="1">
      <c r="A241" s="201"/>
      <c r="M241" s="209"/>
      <c r="N241" s="128"/>
      <c r="O241" s="209"/>
      <c r="P241" s="209"/>
      <c r="Q241" s="209"/>
      <c r="R241" s="209"/>
      <c r="S241" s="209"/>
      <c r="T241" s="209"/>
      <c r="U241" s="210"/>
      <c r="V241" s="211"/>
      <c r="W241" s="211"/>
      <c r="X241" s="212"/>
      <c r="Y241" s="213"/>
      <c r="Z241" s="212"/>
      <c r="AA241" s="213"/>
      <c r="AB241" s="212"/>
      <c r="AC241" s="213"/>
      <c r="AD241" s="212"/>
      <c r="AE241" s="213"/>
      <c r="AF241" s="212"/>
      <c r="AG241" s="213"/>
      <c r="AH241" s="212"/>
      <c r="AI241" s="213"/>
      <c r="AJ241" s="73"/>
    </row>
    <row r="242" spans="1:36" s="74" customFormat="1" ht="15.95" customHeight="1">
      <c r="A242" s="201"/>
      <c r="M242" s="209"/>
      <c r="N242" s="128"/>
      <c r="O242" s="209"/>
      <c r="P242" s="209"/>
      <c r="Q242" s="209"/>
      <c r="R242" s="209"/>
      <c r="S242" s="209"/>
      <c r="T242" s="209"/>
      <c r="U242" s="210"/>
      <c r="V242" s="211"/>
      <c r="W242" s="211"/>
      <c r="X242" s="212"/>
      <c r="Y242" s="213"/>
      <c r="Z242" s="212"/>
      <c r="AA242" s="213"/>
      <c r="AB242" s="212"/>
      <c r="AC242" s="213"/>
      <c r="AD242" s="212"/>
      <c r="AE242" s="213"/>
      <c r="AF242" s="212"/>
      <c r="AG242" s="213"/>
      <c r="AH242" s="212"/>
      <c r="AI242" s="213"/>
      <c r="AJ242" s="73"/>
    </row>
    <row r="243" spans="1:36" s="74" customFormat="1" ht="15.95" customHeight="1">
      <c r="A243" s="201"/>
      <c r="M243" s="209"/>
      <c r="N243" s="128"/>
      <c r="O243" s="209"/>
      <c r="P243" s="209"/>
      <c r="Q243" s="209"/>
      <c r="R243" s="209"/>
      <c r="S243" s="209"/>
      <c r="T243" s="209"/>
      <c r="U243" s="210"/>
      <c r="V243" s="211"/>
      <c r="W243" s="211"/>
      <c r="X243" s="212"/>
      <c r="Y243" s="213"/>
      <c r="Z243" s="212"/>
      <c r="AA243" s="213"/>
      <c r="AB243" s="212"/>
      <c r="AC243" s="213"/>
      <c r="AD243" s="212"/>
      <c r="AE243" s="213"/>
      <c r="AF243" s="212"/>
      <c r="AG243" s="213"/>
      <c r="AH243" s="212"/>
      <c r="AI243" s="213"/>
      <c r="AJ243" s="73"/>
    </row>
    <row r="244" spans="1:36" ht="15.95" customHeight="1"/>
    <row r="245" spans="1:36" ht="15.95" customHeight="1"/>
    <row r="246" spans="1:36" ht="15.95" customHeight="1"/>
    <row r="247" spans="1:36" ht="15.95" customHeight="1"/>
    <row r="248" spans="1:36" ht="15.95" customHeight="1"/>
    <row r="249" spans="1:36" ht="15.95" customHeight="1"/>
    <row r="250" spans="1:36" ht="15.95" customHeight="1"/>
    <row r="251" spans="1:36" ht="15.95" customHeight="1"/>
    <row r="252" spans="1:36" ht="15.95" customHeight="1"/>
    <row r="253" spans="1:36" ht="15.95" customHeight="1"/>
    <row r="254" spans="1:36" ht="15.95" customHeight="1"/>
    <row r="255" spans="1:36" ht="15.95" customHeight="1"/>
    <row r="256" spans="1:36" ht="15.95" customHeight="1"/>
    <row r="257" ht="15.95" customHeight="1"/>
    <row r="258" ht="15.95" customHeight="1"/>
    <row r="259" ht="15.95" customHeight="1"/>
    <row r="260" ht="15.95" customHeight="1"/>
    <row r="261" ht="15.95" customHeight="1"/>
    <row r="262" ht="15.95" customHeight="1"/>
    <row r="263" ht="15.95" customHeight="1"/>
    <row r="264" ht="15.95" customHeight="1"/>
    <row r="265" ht="15.95" customHeight="1"/>
    <row r="266" ht="15.95" customHeight="1"/>
    <row r="267" ht="15.95" customHeight="1"/>
    <row r="268" ht="15.95" customHeight="1"/>
    <row r="269" ht="15.95" customHeight="1"/>
    <row r="270" ht="15.95" customHeight="1"/>
    <row r="271" ht="15.95" customHeight="1"/>
    <row r="272" ht="15.95" customHeight="1"/>
    <row r="273" ht="15.95" customHeight="1"/>
    <row r="274" ht="15.95" customHeight="1"/>
    <row r="275" ht="15.95" customHeight="1"/>
    <row r="276" ht="15.95" customHeight="1"/>
    <row r="277" ht="15.95" customHeight="1"/>
    <row r="278" ht="15.95" customHeight="1"/>
    <row r="279" ht="15.95" customHeight="1"/>
    <row r="280" ht="15.95" customHeight="1"/>
    <row r="281" ht="15.95" customHeight="1"/>
    <row r="282" ht="15.95" customHeight="1"/>
    <row r="283" ht="15.95" customHeight="1"/>
    <row r="284" ht="15.95" customHeight="1"/>
    <row r="285" ht="15.95" customHeight="1"/>
    <row r="286" ht="15.95" customHeight="1"/>
    <row r="287" ht="15.95" customHeight="1"/>
    <row r="288" ht="15.95" customHeight="1"/>
    <row r="289" ht="15.95" customHeight="1"/>
    <row r="290" ht="15.95" customHeight="1"/>
    <row r="291" ht="15.95" customHeight="1"/>
    <row r="292" ht="15.95" customHeight="1"/>
    <row r="293" ht="15.95" customHeight="1"/>
    <row r="294" ht="15.95" customHeight="1"/>
    <row r="295" ht="15.95" customHeight="1"/>
    <row r="296" ht="15.95" customHeight="1"/>
    <row r="297" ht="15.95" customHeight="1"/>
    <row r="298" ht="15.95" customHeight="1"/>
    <row r="299" ht="15.95" customHeight="1"/>
    <row r="300" ht="15.95" customHeight="1"/>
    <row r="301" ht="15.95" customHeight="1"/>
    <row r="302" ht="15.95" customHeight="1"/>
    <row r="303" ht="15.95" customHeight="1"/>
    <row r="304" ht="15.95" customHeight="1"/>
    <row r="305" ht="15.95" customHeight="1"/>
    <row r="306" ht="15.95" customHeight="1"/>
    <row r="307" ht="15.95" customHeight="1"/>
    <row r="308" ht="15.95" customHeight="1"/>
    <row r="309" ht="15.95" customHeight="1"/>
    <row r="310" ht="15.95" customHeight="1"/>
    <row r="311" ht="15.95" customHeight="1"/>
    <row r="312" ht="15.95" customHeight="1"/>
    <row r="313" ht="15.95" customHeight="1"/>
    <row r="314" ht="15.95" customHeight="1"/>
    <row r="315" ht="15.95" customHeight="1"/>
    <row r="316" ht="15.95" customHeight="1"/>
    <row r="317" ht="15.95" customHeight="1"/>
    <row r="318" ht="15.95" customHeight="1"/>
    <row r="319" ht="15.95" customHeight="1"/>
    <row r="320" ht="15.95" customHeight="1"/>
    <row r="321" ht="15.95" customHeight="1"/>
    <row r="322" ht="15.95" customHeight="1"/>
    <row r="323" ht="15.95" customHeight="1"/>
    <row r="324" ht="15.95" customHeight="1"/>
    <row r="325" ht="15.95" customHeight="1"/>
    <row r="326" ht="15.95" customHeight="1"/>
    <row r="327" ht="15.95" customHeight="1"/>
    <row r="328" ht="15.95" customHeight="1"/>
    <row r="329" ht="15.95" customHeight="1"/>
    <row r="330" ht="15.95" customHeight="1"/>
    <row r="331" ht="15.95" customHeight="1"/>
    <row r="332" ht="15.95" customHeight="1"/>
    <row r="333" ht="15.95" customHeight="1"/>
    <row r="334" ht="15.95" customHeight="1"/>
    <row r="335" ht="15.95" customHeight="1"/>
    <row r="336" ht="15.95" customHeight="1"/>
    <row r="337" ht="15.95" customHeight="1"/>
    <row r="338" ht="15.95" customHeight="1"/>
    <row r="339" ht="15.95" customHeight="1"/>
    <row r="340" ht="15.95" customHeight="1"/>
    <row r="341" ht="15.95" customHeight="1"/>
    <row r="342" ht="15.95" customHeight="1"/>
    <row r="343" ht="15.95" customHeight="1"/>
    <row r="344" ht="15.95" customHeight="1"/>
    <row r="345" ht="15.95" customHeight="1"/>
    <row r="346" ht="15.95" customHeight="1"/>
    <row r="347" ht="15.95" customHeight="1"/>
    <row r="348" ht="15.95" customHeight="1"/>
    <row r="349" ht="15.95" customHeight="1"/>
    <row r="350" ht="15.95" customHeight="1"/>
    <row r="351" ht="15.95" customHeight="1"/>
    <row r="352" ht="15.95" customHeight="1"/>
    <row r="353" ht="15.95" customHeight="1"/>
    <row r="354" ht="15.95" customHeight="1"/>
    <row r="355" ht="15.95" customHeight="1"/>
    <row r="356" ht="15.95" customHeight="1"/>
  </sheetData>
  <sheetProtection sheet="1" selectLockedCells="1"/>
  <dataConsolidate/>
  <customSheetViews>
    <customSheetView guid="{2515DDB7-9BA3-48FA-88DC-CCB335C94A34}" showPageBreaks="1" fitToPage="1" printArea="1" hiddenRows="1" hiddenColumns="1" view="pageBreakPreview" showRuler="0">
      <pane ySplit="1" topLeftCell="A14" activePane="bottomLeft" state="frozen"/>
      <selection pane="bottomLeft" activeCell="C96" sqref="C96"/>
      <rowBreaks count="2" manualBreakCount="2">
        <brk id="91" max="21" man="1"/>
        <brk id="185" max="21" man="1"/>
      </rowBreaks>
      <pageMargins left="0.47244094488188981" right="0.31496062992125984" top="0.31496062992125984" bottom="0.35433070866141736" header="0.31496062992125984" footer="0.15748031496062992"/>
      <pageSetup paperSize="9" scale="70" fitToHeight="0" orientation="portrait" r:id="rId1"/>
      <headerFooter alignWithMargins="0">
        <oddFooter>Seite &amp;P</oddFooter>
      </headerFooter>
    </customSheetView>
  </customSheetViews>
  <mergeCells count="116">
    <mergeCell ref="B77:F77"/>
    <mergeCell ref="B84:F84"/>
    <mergeCell ref="B83:F83"/>
    <mergeCell ref="B20:N20"/>
    <mergeCell ref="B25:N25"/>
    <mergeCell ref="D147:L147"/>
    <mergeCell ref="C150:L150"/>
    <mergeCell ref="D151:L151"/>
    <mergeCell ref="C136:G136"/>
    <mergeCell ref="D149:L149"/>
    <mergeCell ref="C23:H23"/>
    <mergeCell ref="B71:F71"/>
    <mergeCell ref="A96:N96"/>
    <mergeCell ref="A99:N99"/>
    <mergeCell ref="A103:N103"/>
    <mergeCell ref="C74:F74"/>
    <mergeCell ref="B76:F76"/>
    <mergeCell ref="A75:N75"/>
    <mergeCell ref="B94:F94"/>
    <mergeCell ref="B91:F91"/>
    <mergeCell ref="C101:E101"/>
    <mergeCell ref="C102:E102"/>
    <mergeCell ref="B67:F67"/>
    <mergeCell ref="I55:J55"/>
    <mergeCell ref="C119:N119"/>
    <mergeCell ref="C123:N123"/>
    <mergeCell ref="A113:N113"/>
    <mergeCell ref="D110:N110"/>
    <mergeCell ref="D111:K111"/>
    <mergeCell ref="A117:N117"/>
    <mergeCell ref="A127:N127"/>
    <mergeCell ref="C152:L152"/>
    <mergeCell ref="C134:L134"/>
    <mergeCell ref="D135:L135"/>
    <mergeCell ref="D139:L139"/>
    <mergeCell ref="D141:L141"/>
    <mergeCell ref="A234:U234"/>
    <mergeCell ref="A233:U233"/>
    <mergeCell ref="A231:U231"/>
    <mergeCell ref="A191:N191"/>
    <mergeCell ref="A224:N224"/>
    <mergeCell ref="A173:N173"/>
    <mergeCell ref="A187:N187"/>
    <mergeCell ref="A184:N184"/>
    <mergeCell ref="A189:N189"/>
    <mergeCell ref="C169:K169"/>
    <mergeCell ref="C180:K180"/>
    <mergeCell ref="B197:E197"/>
    <mergeCell ref="C205:J205"/>
    <mergeCell ref="C208:J208"/>
    <mergeCell ref="C210:J210"/>
    <mergeCell ref="C227:U230"/>
    <mergeCell ref="A226:N226"/>
    <mergeCell ref="B88:F88"/>
    <mergeCell ref="C105:I105"/>
    <mergeCell ref="D143:L143"/>
    <mergeCell ref="A130:N130"/>
    <mergeCell ref="A132:N132"/>
    <mergeCell ref="C138:L138"/>
    <mergeCell ref="C140:L140"/>
    <mergeCell ref="C142:L142"/>
    <mergeCell ref="C144:L144"/>
    <mergeCell ref="C146:L146"/>
    <mergeCell ref="D145:L145"/>
    <mergeCell ref="A156:N156"/>
    <mergeCell ref="C148:L148"/>
    <mergeCell ref="A90:N90"/>
    <mergeCell ref="B104:E104"/>
    <mergeCell ref="B118:E118"/>
    <mergeCell ref="C14:H14"/>
    <mergeCell ref="C22:H22"/>
    <mergeCell ref="Q28:U28"/>
    <mergeCell ref="Q26:R26"/>
    <mergeCell ref="Q30:U30"/>
    <mergeCell ref="C26:H26"/>
    <mergeCell ref="C13:H13"/>
    <mergeCell ref="A5:U5"/>
    <mergeCell ref="A6:T6"/>
    <mergeCell ref="B12:N12"/>
    <mergeCell ref="A19:U19"/>
    <mergeCell ref="A11:U11"/>
    <mergeCell ref="A7:U7"/>
    <mergeCell ref="A8:U8"/>
    <mergeCell ref="S16:U16"/>
    <mergeCell ref="Q12:U12"/>
    <mergeCell ref="Q14:U14"/>
    <mergeCell ref="O14:P14"/>
    <mergeCell ref="C15:H15"/>
    <mergeCell ref="O16:P16"/>
    <mergeCell ref="C16:H16"/>
    <mergeCell ref="C18:H18"/>
    <mergeCell ref="D17:H17"/>
    <mergeCell ref="C21:H21"/>
    <mergeCell ref="B70:F70"/>
    <mergeCell ref="B72:F72"/>
    <mergeCell ref="B73:F73"/>
    <mergeCell ref="B61:F61"/>
    <mergeCell ref="B62:F62"/>
    <mergeCell ref="B63:F63"/>
    <mergeCell ref="C27:H27"/>
    <mergeCell ref="C40:H40"/>
    <mergeCell ref="B45:H45"/>
    <mergeCell ref="B64:F64"/>
    <mergeCell ref="B65:F65"/>
    <mergeCell ref="B68:F68"/>
    <mergeCell ref="B46:K46"/>
    <mergeCell ref="A32:U32"/>
    <mergeCell ref="F31:U31"/>
    <mergeCell ref="C31:D31"/>
    <mergeCell ref="C28:H28"/>
    <mergeCell ref="G55:H55"/>
    <mergeCell ref="B60:F60"/>
    <mergeCell ref="B59:F59"/>
    <mergeCell ref="B66:F66"/>
    <mergeCell ref="B58:F58"/>
    <mergeCell ref="B69:F69"/>
  </mergeCells>
  <phoneticPr fontId="0" type="noConversion"/>
  <dataValidations count="51">
    <dataValidation type="whole" allowBlank="1" showInputMessage="1" showErrorMessage="1" errorTitle="ungültiger Wert" error="Die Anzahl Flächen &gt;10 Aren darf  die in Punkt 5.17.2 angegebene Ökoflächen  auf Ackerland nicht übersteigen und/oder ganze Zahl eingeben" sqref="B119" xr:uid="{AB581D47-3A7C-4958-ABB0-4D94768BA479}">
      <formula1>0</formula1>
      <formula2>I91/0.1</formula2>
    </dataValidation>
    <dataValidation type="whole" allowBlank="1" showInputMessage="1" errorTitle="ungültiger Wert" error="Bitte ganze Zahl eingeben!_x000a_" sqref="B50" xr:uid="{E771A80C-7912-4B7B-99CC-CEC4371CC3BE}">
      <formula1>1</formula1>
      <formula2>99</formula2>
    </dataValidation>
    <dataValidation operator="lessThanOrEqual" allowBlank="1" showInputMessage="1" showErrorMessage="1" errorTitle="ungültiger Wert" error="der Wert darf höchstens so gross sein wie die Gesamtfläche des ökologischen Ausgleichs" sqref="B204 I76 B207 B196:B197" xr:uid="{FAAD4488-8360-4C47-AE80-6D86F82B60D6}"/>
    <dataValidation type="whole" allowBlank="1" showInputMessage="1" showErrorMessage="1" errorTitle="ungültiger Wert" error="Bitte ganze Zahl eingeben!" sqref="G73 B40" xr:uid="{3050A818-73BB-42BB-B0BF-6D1D13DC7F26}">
      <formula1>0</formula1>
      <formula2>9999</formula2>
    </dataValidation>
    <dataValidation operator="lessThanOrEqual" allowBlank="1" showInputMessage="1" showErrorMessage="1" errorTitle="ungültiger Wert" sqref="K199:K202 G199:G202 B208 B210 I97" xr:uid="{6977DDA2-EA79-422F-B949-D13743BFD9FB}"/>
    <dataValidation type="whole" operator="greaterThanOrEqual" allowBlank="1" showInputMessage="1" showErrorMessage="1" errorTitle="ungültiger Wert" error="bitte ganze Zahl eingeben" sqref="B123" xr:uid="{26D013E0-1E0E-4CE5-813B-5398AA4A68FE}">
      <formula1>0</formula1>
    </dataValidation>
    <dataValidation type="decimal" operator="greaterThanOrEqual" showInputMessage="1" showErrorMessage="1" errorTitle="ungültiger Wert" error="Fläche muss grösser oder gleich sein wie Dauergrünland + offene Ackerfläche + Kunstwiesen" sqref="B13" xr:uid="{B9C0DFEB-F6C0-4FEC-908C-6BD0E7674A31}">
      <formula1>K16</formula1>
    </dataValidation>
    <dataValidation type="decimal" operator="lessThanOrEqual" allowBlank="1" showInputMessage="1" showErrorMessage="1" errorTitle="ungültiger Wert" error="Fläche muss kleiner sein als intensiv genutztes Grünland!" sqref="B176" xr:uid="{6638B1EE-4604-42BA-87FA-495028AAC6DB}">
      <formula1>B175</formula1>
    </dataValidation>
    <dataValidation type="decimal" operator="lessThanOrEqual" allowBlank="1" showInputMessage="1" showErrorMessage="1" errorTitle="ungültiger Wert" error="Fläche muss kleiner sein als intensiv genutztes Grünland!" sqref="B178 B180" xr:uid="{244DCD9A-64C3-43F9-B8C9-5FD41BF0E3DE}">
      <formula1>B175</formula1>
    </dataValidation>
    <dataValidation type="decimal" operator="lessThanOrEqual" allowBlank="1" showInputMessage="1" showErrorMessage="1" errorTitle="falscher Wert" error="Wert darf nicht grösser sein als Dauergrünland + Extensivweide - öAF auf Dauergrünland_x000a__x000a_" sqref="B182" xr:uid="{75B65249-2BC7-4017-8606-0F281DB94736}">
      <formula1>B175</formula1>
    </dataValidation>
    <dataValidation type="decimal" operator="lessThanOrEqual" allowBlank="1" showInputMessage="1" showErrorMessage="1" errorTitle="ungültiger Wert" error="Fläche darf nicht grösser als LN sein!" sqref="G72" xr:uid="{901E707E-C599-41F4-AA17-5DCFFD9D0ACA}">
      <formula1>LN</formula1>
    </dataValidation>
    <dataValidation type="decimal" operator="lessThanOrEqual" allowBlank="1" showInputMessage="1" showErrorMessage="1" errorTitle="ungültiger Wert" error="Fläche darf nicht grösser als LN sein!" sqref="B27" xr:uid="{95A3C71C-9CC7-4EE8-8D8B-75C57133DF8D}">
      <formula1>B13</formula1>
    </dataValidation>
    <dataValidation type="decimal" operator="lessThanOrEqual" allowBlank="1" showInputMessage="1" showErrorMessage="1" errorTitle="ungültiger Wert" error="Fläche darf nicht grösser als LN sein!" sqref="B28" xr:uid="{4650C8D9-1135-4A95-8B43-0D92B82D1C5C}">
      <formula1>B13</formula1>
    </dataValidation>
    <dataValidation type="decimal" showInputMessage="1" showErrorMessage="1" errorTitle="ungültiger Wert" error="Maximal 3 Punkte nach Absprache mit Gutachter einsetzen!" sqref="M217 M223 M221" xr:uid="{88A14BCB-F1B4-4E00-B349-3B0C9D7E6DE9}">
      <formula1>0</formula1>
      <formula2>3</formula2>
    </dataValidation>
    <dataValidation type="decimal" operator="lessThanOrEqual" allowBlank="1" showInputMessage="1" showErrorMessage="1" errorTitle="ungültiger Wert" error="Fläche darf höchsten so gross sein wie Dauergrünland!_x000a_" sqref="G58:G60 G70" xr:uid="{B2D7858B-F07C-4D16-900A-3A023DCA8D40}">
      <formula1>DGL</formula1>
    </dataValidation>
    <dataValidation type="decimal" operator="lessThanOrEqual" allowBlank="1" showInputMessage="1" showErrorMessage="1" errorTitle="ungültiger Wert" error="Wert darf nicht grösser als LN sein!" sqref="G71 G68" xr:uid="{BB416F6B-C3AB-42E8-BFFD-09C6DC9F189E}">
      <formula1>LN</formula1>
    </dataValidation>
    <dataValidation type="decimal" operator="lessThanOrEqual" allowBlank="1" showInputMessage="1" showErrorMessage="1" errorTitle="ungültiger Wert" error="Fläche darf höchstens so gross sein wie die Gesamtfläche des ökologischen Ausgleichs!" sqref="B115" xr:uid="{6D59F106-3C41-4824-B824-3B7B6654F107}">
      <formula1>öAF_ohne_Bäume</formula1>
    </dataValidation>
    <dataValidation type="decimal" operator="lessThanOrEqual" allowBlank="1" showInputMessage="1" showErrorMessage="1" errorTitle="ungültiger Wert" error="Fläche darf nicht grösser sein als offene Ackerfläche!" sqref="B134 B138 B140 B142 B144 B146 B150 B148 B136 G61:G65 B152:B153 B155" xr:uid="{18514D63-2CB0-4799-A95D-B3B2288155C9}">
      <formula1>offene_Ackerfläche</formula1>
    </dataValidation>
    <dataValidation type="decimal" operator="lessThanOrEqual" allowBlank="1" showInputMessage="1" showErrorMessage="1" errorTitle="ungültiger Wert" error="Fläche darf höchsten so gross sein wie Total öAF inkl. Bäume (5.13)!" sqref="B101:B102" xr:uid="{0AA27403-68E6-465B-BBC3-6CD6B0BA4363}">
      <formula1>öAF_mit_Bäumen</formula1>
    </dataValidation>
    <dataValidation operator="lessThanOrEqual" allowBlank="1" showInputMessage="1" showErrorMessage="1" errorTitle="ungültiger Wert" error="Fläche darf nicht grösser als LN abzüglich Dauergrünland und offener Ackerfläche sein!" sqref="B18" xr:uid="{5AEF0C1E-AFD9-4972-A64D-14A766D0FD67}"/>
    <dataValidation type="whole" allowBlank="1" showInputMessage="1" showErrorMessage="1" sqref="B212" xr:uid="{2CFB906C-1861-40F4-8FE9-26204883DAC0}">
      <formula1>0</formula1>
      <formula2>1000</formula2>
    </dataValidation>
    <dataValidation type="decimal" operator="lessThanOrEqual" allowBlank="1" showInputMessage="1" showErrorMessage="1" errorTitle="valeur invalide" error="La surface ne doit pas être plus grande que celle des terres assolées!" sqref="I70" xr:uid="{7ABE8DB3-3EFF-4C27-8A46-5AB3EEA5CC46}">
      <formula1>Ackerfläche</formula1>
    </dataValidation>
    <dataValidation type="decimal" operator="lessThanOrEqual" allowBlank="1" showInputMessage="1" showErrorMessage="1" errorTitle="ungültiger Wert" error="Fläche darf höchstens so gross sein wie die Fläche von extensiv genutzten Wiesen + wenig intensiv genutzten Wiesen + Uferwiesen + Streueflächen!" sqref="B165" xr:uid="{A9F35F93-A230-4BDF-B2CC-1919252965FD}">
      <formula1>SUM(G58:G59, G69:G70)</formula1>
    </dataValidation>
    <dataValidation type="decimal" operator="lessThanOrEqual" allowBlank="1" showInputMessage="1" showErrorMessage="1" errorTitle="ungültiger Wert" error="Fläche darf höchstens so gross sein wie die Fläche von extensiv genutzten Wiesen + wenig intensiv genutzten Wiesen + Uferwiesen + Streueflächen!" sqref="B167" xr:uid="{8E151A73-DF7E-44FD-A462-5EFB3B6F3040}">
      <formula1>SUM(G58:G60, G69:G70)</formula1>
    </dataValidation>
    <dataValidation type="decimal" operator="lessThanOrEqual" allowBlank="1" showInputMessage="1" showErrorMessage="1" errorTitle="ungültiger Wert" error="Fläche darf höchstens so gross sein wie die Fläche von ext. Wiesen, wenig int. Wiesen, Uferwiesen und Streueflächen!" sqref="B169" xr:uid="{C8F0B614-63F5-413C-807C-FCA8031834F0}">
      <formula1>SUM(G58:G59, G69:G70)</formula1>
    </dataValidation>
    <dataValidation type="decimal" operator="lessThanOrEqual" allowBlank="1" showInputMessage="1" showErrorMessage="1" errorTitle="ungültiger Wert" error="Fläche muss kleiner sein als die Fläche der extensiven Weiden und Waldweiden!" sqref="I60" xr:uid="{E82CA879-7671-4832-B135-9096051E61F3}">
      <formula1>G60</formula1>
    </dataValidation>
    <dataValidation type="decimal" operator="lessThanOrEqual" allowBlank="1" showInputMessage="1" showErrorMessage="1" errorTitle="ungültiger Wert" error="Fläche muss kleiner sein als die Fläche der  extensiven Wiesen!" sqref="I58" xr:uid="{D571F032-D35B-4F4D-956A-C736E21CE8AE}">
      <formula1>G58</formula1>
    </dataValidation>
    <dataValidation type="decimal" operator="lessThanOrEqual" allowBlank="1" showInputMessage="1" showErrorMessage="1" errorTitle="ungültiger Wert" error="Fläche muss kleiner sein als die Fläche der wenig intensiven Wiesen!" sqref="I59" xr:uid="{B3E39D7B-911E-4CB6-9AEA-60F5CEF8DDA3}">
      <formula1>G59</formula1>
    </dataValidation>
    <dataValidation type="decimal" operator="lessThanOrEqual" allowBlank="1" showInputMessage="1" showErrorMessage="1" errorTitle="ungültiger Wert" error="Fläche muss kleiner sein als die Fläche der Hecken und Gehölze!" sqref="I68" xr:uid="{8C914F46-563A-45F0-95C6-395D769077DC}">
      <formula1>G68</formula1>
    </dataValidation>
    <dataValidation type="whole" operator="lessThanOrEqual" allowBlank="1" showInputMessage="1" showErrorMessage="1" errorTitle="ungültiger Wert" error="Anzahl muss kleiner sein als die Anzahl der Bäume!" sqref="I73" xr:uid="{45B98788-DA7F-4700-A3CE-CDD460B91D93}">
      <formula1>G73</formula1>
    </dataValidation>
    <dataValidation type="decimal" operator="lessThanOrEqual" allowBlank="1" showInputMessage="1" showErrorMessage="1" errorTitle="ungültiger Wert" error="darf höchsten so gross sein wie &quot;übrige Fläche&quot; (B18)!" sqref="G69" xr:uid="{1C22900F-4A81-482F-AD10-9E93F6623871}">
      <formula1>übrige_Fläche</formula1>
    </dataValidation>
    <dataValidation type="decimal" operator="lessThanOrEqual" allowBlank="1" showInputMessage="1" showErrorMessage="1" errorTitle="ungültiger Wert" error="Fläche muss kleiner sein als die Summe der angemeldeten und nicht angemeldeten extensiven Wiesen!" sqref="K71" xr:uid="{38272025-EB4B-437E-9FC6-EF5653369545}">
      <formula1>G71</formula1>
    </dataValidation>
    <dataValidation type="decimal" operator="lessThanOrEqual" allowBlank="1" showInputMessage="1" showErrorMessage="1" errorTitle="ungültiger Wert" error="Fläche muss kleiner sein als die angemeldete Fläche!" sqref="K68:K70 K58:K60" xr:uid="{B3032930-6805-4C0F-A388-5ACABE4BBB39}">
      <formula1>G58</formula1>
    </dataValidation>
    <dataValidation type="decimal" operator="lessThanOrEqual" allowBlank="1" showInputMessage="1" showErrorMessage="1" errorTitle="ungültiger Wert" error="Fläche muss kleiner sein als die Fläche der  Rebflächen mit  hoher Artenvielfalt!" sqref="I71" xr:uid="{F4DF0795-E4AA-4C5B-8074-03B6977D5E83}">
      <formula1>G71</formula1>
    </dataValidation>
    <dataValidation type="decimal" operator="lessThanOrEqual" allowBlank="1" showInputMessage="1" showErrorMessage="1" errorTitle="valeur invalide" error="La surface doit être inférieure à la somme des surfaces à litière annoncées et non annoncées!" sqref="L70" xr:uid="{20F3B8F5-7EA4-47BF-BA02-922B6AED5B58}">
      <formula1>H70+#REF!-J70</formula1>
    </dataValidation>
    <dataValidation type="whole" operator="lessThanOrEqual" allowBlank="1" showInputMessage="1" showErrorMessage="1" errorTitle="ungültiger Wert" error="Die Anzahl Flächen &gt;25 Aren darf  die in Punkt 5.17.2 angegebene Ökoflächen  auf Ackerland nicht übersteigen und/oder ganze Zahl eingeben" sqref="B105" xr:uid="{AF75CB03-E84C-4ED1-A1D5-5A0DF06048AA}">
      <formula1>I91/0.25</formula1>
    </dataValidation>
    <dataValidation type="decimal" operator="lessThan" allowBlank="1" showInputMessage="1" showErrorMessage="1" errorTitle="ungültiger Wert" error="Fläche darf nicht grösser sein als LN!" sqref="G67" xr:uid="{D7FB9D9F-5E25-4260-BAC2-9C3A0B6F74B2}">
      <formula1>LN</formula1>
    </dataValidation>
    <dataValidation type="decimal" operator="lessThanOrEqual" allowBlank="1" showInputMessage="1" showErrorMessage="1" errorTitle="falscher Wert" error="Fläche darf nicht grösser als LN sein!_x000a_" sqref="B193" xr:uid="{91FD6E54-4D96-4623-A687-80FFAC47262C}">
      <formula1>LN</formula1>
    </dataValidation>
    <dataValidation type="whole" operator="greaterThan" allowBlank="1" showInputMessage="1" showErrorMessage="1" errorTitle="ungültiger Wert" error="darf nicht älter als 7 Jahre sein" sqref="I199" xr:uid="{F118B84C-8359-4451-9B94-53849A685DA8}">
      <formula1>C199-8</formula1>
    </dataValidation>
    <dataValidation type="whole" operator="greaterThan" allowBlank="1" showInputMessage="1" showErrorMessage="1" errorTitle="ungültiger Wert" error="darf nicht älter als 7 Jahre sein" sqref="E200:E202 I200:I202" xr:uid="{0EB8329E-206B-462B-93ED-3EFCF7C880C5}">
      <formula1>C199 -8</formula1>
    </dataValidation>
    <dataValidation type="whole" operator="greaterThan" allowBlank="1" showInputMessage="1" showErrorMessage="1" errorTitle="ungültiger Wert" error="darf nicht älter als 7 Jahre sein" sqref="E199" xr:uid="{C11965B3-F626-4CF0-A957-4E3B664F2B4B}">
      <formula1>C199 - 8</formula1>
    </dataValidation>
    <dataValidation type="decimal" operator="lessThanOrEqual" allowBlank="1" showInputMessage="1" showErrorMessage="1" errorTitle="ungültiger Wert" error="Fläche muss kleiner sein als die angemeldete Fläche!" sqref="K66" xr:uid="{6F16FFBB-E566-4638-9735-8CD73281D0A1}">
      <formula1>G65</formula1>
    </dataValidation>
    <dataValidation type="decimal" operator="lessThanOrEqual" allowBlank="1" showErrorMessage="1" errorTitle="ungültiger Wert" error="Fläche darf höchstens so gross sein wie die Fläche der Nützlingsstreifen" promptTitle="Wert zu gross" prompt="Darf höchstens den Betrag der angemeldeten Nützlingsstreifen betragen" sqref="I66" xr:uid="{98D2CB1F-9CE6-4284-B8D9-EB73DD553F5B}">
      <formula1>G65</formula1>
    </dataValidation>
    <dataValidation type="whole" operator="lessThanOrEqual" showInputMessage="1" showErrorMessage="1" errorTitle="ungültiger Wert" error="Die Anzahl Flächen &gt;25 Aren darf  die unter Ziffer 5 angegebene Ökoflächen auf Grünland/Streueland mit Qualität nicht übersteigen!" sqref="B109" xr:uid="{7676C1EA-F5F6-465D-97FC-D55B93EBE514}">
      <formula1>(SUM(I58:K61)+SUM(I68:K70))/0.25</formula1>
    </dataValidation>
    <dataValidation operator="lessThanOrEqual" allowBlank="1" showInputMessage="1" showErrorMessage="1" errorTitle="ungültiger Wert" error="Summe von 1.1.1 bis 1.1.5 darf nicht grösser sien als LN" sqref="B22" xr:uid="{5A390888-B431-460E-A36F-E232C2B16CBC}"/>
    <dataValidation type="decimal" operator="lessThanOrEqual" allowBlank="1" showInputMessage="1" showErrorMessage="1" errorTitle="falscher Wert" error="Wert darf höchsten so gross sein wie Dauergrünland+Streueflächen" sqref="H58:H60" xr:uid="{091EB9D1-DFD1-44C7-8BA9-C491FCB50129}">
      <formula1>D17</formula1>
    </dataValidation>
    <dataValidation type="decimal" operator="lessThanOrEqual" allowBlank="1" showInputMessage="1" showErrorMessage="1" errorTitle="ungültiger Wert" error="Summe von 1.1.1 bis 1.1.3 darf nicht grösser sien als LN" sqref="B15" xr:uid="{F5E70134-0DD2-4177-BC68-3DB44CDF10A7}">
      <formula1>B13-SUM(B14,B16)</formula1>
    </dataValidation>
    <dataValidation type="decimal" operator="lessThanOrEqual" allowBlank="1" showInputMessage="1" showErrorMessage="1" errorTitle="ungültiger Wert" error="Summe von 1.1.1 bis 1.1.3 darf nicht grösser sein als LN" sqref="B14" xr:uid="{0D854E3A-EE6A-4FC5-8B7B-4DED7C796431}">
      <formula1>B13-SUM(B15,B16)</formula1>
    </dataValidation>
    <dataValidation type="decimal" operator="lessThanOrEqual" allowBlank="1" showInputMessage="1" showErrorMessage="1" errorTitle="ungültiger Wert" error="Summe von 1.1.1 bis 1.1.3 darf nicht grösser sien als LN" sqref="B16" xr:uid="{443D5C72-83A6-4494-9DFD-44CAF9E807FA}">
      <formula1>B13-SUM(B14,B15)</formula1>
    </dataValidation>
    <dataValidation type="decimal" operator="lessThanOrEqual" allowBlank="1" showInputMessage="1" showErrorMessage="1" errorTitle="falscher Wert" error="Wert darf höchsten so gross sein wie Dauergrünland+Streueflächen" sqref="L58:L60" xr:uid="{D4FA376F-951C-43A8-B359-F0146A0494A7}">
      <formula1>K19</formula1>
    </dataValidation>
    <dataValidation type="decimal" operator="lessThanOrEqual" allowBlank="1" showInputMessage="1" showErrorMessage="1" errorTitle="ungültiger Wert" error="Fläche darf nicht grösser als Fläche von extensiv genutzten Wiesen + wenig intensiv genutzten Wiesen + extensiven Weiden!" sqref="B171" xr:uid="{8D7EA7A4-9E3B-46D1-B412-25C2F19BEEE0}">
      <formula1>SUM(G58:G60)</formula1>
    </dataValidation>
  </dataValidations>
  <pageMargins left="0.47244094488188981" right="0.31496062992125984" top="0.31496062992125984" bottom="0.35433070866141736" header="0.31496062992125984" footer="0.15748031496062992"/>
  <pageSetup paperSize="9" scale="60" fitToHeight="0" orientation="portrait" r:id="rId2"/>
  <headerFooter alignWithMargins="0">
    <oddFooter>Seite &amp;P</oddFooter>
  </headerFooter>
  <rowBreaks count="2" manualBreakCount="2">
    <brk id="99" max="16383" man="1"/>
    <brk id="189" max="16383" man="1"/>
  </rowBreaks>
  <ignoredErrors>
    <ignoredError sqref="A115 A26 A69 A152" numberStoredAsText="1"/>
    <ignoredError sqref="A101:A102 A176 A178 A27:A28 A67 A16:A17 A14:A15" twoDigitTextYear="1"/>
    <ignoredError sqref="K16" formulaRange="1"/>
  </ignoredErrors>
  <drawing r:id="rId3"/>
  <legacyDrawing r:id="rId4"/>
  <mc:AlternateContent xmlns:mc="http://schemas.openxmlformats.org/markup-compatibility/2006">
    <mc:Choice Requires="x14">
      <controls>
        <mc:AlternateContent xmlns:mc="http://schemas.openxmlformats.org/markup-compatibility/2006">
          <mc:Choice Requires="x14">
            <control shapeId="1110" r:id="rId5" name="Check Box 86">
              <controlPr locked="0" defaultSize="0" autoFill="0" autoLine="0" autoPict="0">
                <anchor moveWithCells="1">
                  <from>
                    <xdr:col>1</xdr:col>
                    <xdr:colOff>47625</xdr:colOff>
                    <xdr:row>46</xdr:row>
                    <xdr:rowOff>66675</xdr:rowOff>
                  </from>
                  <to>
                    <xdr:col>2</xdr:col>
                    <xdr:colOff>419100</xdr:colOff>
                    <xdr:row>47</xdr:row>
                    <xdr:rowOff>85725</xdr:rowOff>
                  </to>
                </anchor>
              </controlPr>
            </control>
          </mc:Choice>
        </mc:AlternateContent>
        <mc:AlternateContent xmlns:mc="http://schemas.openxmlformats.org/markup-compatibility/2006">
          <mc:Choice Requires="x14">
            <control shapeId="1111" r:id="rId6" name="Check Box 87">
              <controlPr locked="0" defaultSize="0" autoFill="0" autoLine="0" autoPict="0">
                <anchor moveWithCells="1">
                  <from>
                    <xdr:col>4</xdr:col>
                    <xdr:colOff>28575</xdr:colOff>
                    <xdr:row>46</xdr:row>
                    <xdr:rowOff>57150</xdr:rowOff>
                  </from>
                  <to>
                    <xdr:col>6</xdr:col>
                    <xdr:colOff>400050</xdr:colOff>
                    <xdr:row>47</xdr:row>
                    <xdr:rowOff>66675</xdr:rowOff>
                  </to>
                </anchor>
              </controlPr>
            </control>
          </mc:Choice>
        </mc:AlternateContent>
        <mc:AlternateContent xmlns:mc="http://schemas.openxmlformats.org/markup-compatibility/2006">
          <mc:Choice Requires="x14">
            <control shapeId="1112" r:id="rId7" name="Check Box 88">
              <controlPr locked="0" defaultSize="0" autoFill="0" autoLine="0" autoPict="0">
                <anchor moveWithCells="1">
                  <from>
                    <xdr:col>8</xdr:col>
                    <xdr:colOff>342900</xdr:colOff>
                    <xdr:row>46</xdr:row>
                    <xdr:rowOff>66675</xdr:rowOff>
                  </from>
                  <to>
                    <xdr:col>10</xdr:col>
                    <xdr:colOff>523875</xdr:colOff>
                    <xdr:row>47</xdr:row>
                    <xdr:rowOff>76200</xdr:rowOff>
                  </to>
                </anchor>
              </controlPr>
            </control>
          </mc:Choice>
        </mc:AlternateContent>
        <mc:AlternateContent xmlns:mc="http://schemas.openxmlformats.org/markup-compatibility/2006">
          <mc:Choice Requires="x14">
            <control shapeId="1113" r:id="rId8" name="Check Box 89">
              <controlPr locked="0" defaultSize="0" autoFill="0" autoLine="0" autoPict="0">
                <anchor moveWithCells="1">
                  <from>
                    <xdr:col>1</xdr:col>
                    <xdr:colOff>47625</xdr:colOff>
                    <xdr:row>47</xdr:row>
                    <xdr:rowOff>9525</xdr:rowOff>
                  </from>
                  <to>
                    <xdr:col>2</xdr:col>
                    <xdr:colOff>219075</xdr:colOff>
                    <xdr:row>48</xdr:row>
                    <xdr:rowOff>19050</xdr:rowOff>
                  </to>
                </anchor>
              </controlPr>
            </control>
          </mc:Choice>
        </mc:AlternateContent>
        <mc:AlternateContent xmlns:mc="http://schemas.openxmlformats.org/markup-compatibility/2006">
          <mc:Choice Requires="x14">
            <control shapeId="1114" r:id="rId9" name="Check Box 90">
              <controlPr locked="0" defaultSize="0" autoFill="0" autoLine="0" autoPict="0" altText="Gemüsebau">
                <anchor moveWithCells="1">
                  <from>
                    <xdr:col>1</xdr:col>
                    <xdr:colOff>47625</xdr:colOff>
                    <xdr:row>48</xdr:row>
                    <xdr:rowOff>9525</xdr:rowOff>
                  </from>
                  <to>
                    <xdr:col>2</xdr:col>
                    <xdr:colOff>419100</xdr:colOff>
                    <xdr:row>49</xdr:row>
                    <xdr:rowOff>19050</xdr:rowOff>
                  </to>
                </anchor>
              </controlPr>
            </control>
          </mc:Choice>
        </mc:AlternateContent>
        <mc:AlternateContent xmlns:mc="http://schemas.openxmlformats.org/markup-compatibility/2006">
          <mc:Choice Requires="x14">
            <control shapeId="1115" r:id="rId10" name="Check Box 91">
              <controlPr locked="0" defaultSize="0" autoFill="0" autoLine="0" autoPict="0" altText="Rebbau">
                <anchor moveWithCells="1">
                  <from>
                    <xdr:col>8</xdr:col>
                    <xdr:colOff>342900</xdr:colOff>
                    <xdr:row>46</xdr:row>
                    <xdr:rowOff>257175</xdr:rowOff>
                  </from>
                  <to>
                    <xdr:col>10</xdr:col>
                    <xdr:colOff>361950</xdr:colOff>
                    <xdr:row>48</xdr:row>
                    <xdr:rowOff>9525</xdr:rowOff>
                  </to>
                </anchor>
              </controlPr>
            </control>
          </mc:Choice>
        </mc:AlternateContent>
        <mc:AlternateContent xmlns:mc="http://schemas.openxmlformats.org/markup-compatibility/2006">
          <mc:Choice Requires="x14">
            <control shapeId="1116" r:id="rId11" name="Check Box 92">
              <controlPr locked="0" defaultSize="0" autoFill="0" autoLine="0" autoPict="0">
                <anchor moveWithCells="1">
                  <from>
                    <xdr:col>4</xdr:col>
                    <xdr:colOff>28575</xdr:colOff>
                    <xdr:row>47</xdr:row>
                    <xdr:rowOff>171450</xdr:rowOff>
                  </from>
                  <to>
                    <xdr:col>8</xdr:col>
                    <xdr:colOff>200025</xdr:colOff>
                    <xdr:row>49</xdr:row>
                    <xdr:rowOff>0</xdr:rowOff>
                  </to>
                </anchor>
              </controlPr>
            </control>
          </mc:Choice>
        </mc:AlternateContent>
        <mc:AlternateContent xmlns:mc="http://schemas.openxmlformats.org/markup-compatibility/2006">
          <mc:Choice Requires="x14">
            <control shapeId="1123" r:id="rId12" name="Check Box 99">
              <controlPr locked="0" defaultSize="0" autoFill="0" autoLine="0" autoPict="0">
                <anchor moveWithCells="1">
                  <from>
                    <xdr:col>4</xdr:col>
                    <xdr:colOff>28575</xdr:colOff>
                    <xdr:row>46</xdr:row>
                    <xdr:rowOff>247650</xdr:rowOff>
                  </from>
                  <to>
                    <xdr:col>8</xdr:col>
                    <xdr:colOff>19050</xdr:colOff>
                    <xdr:row>48</xdr:row>
                    <xdr:rowOff>9525</xdr:rowOff>
                  </to>
                </anchor>
              </controlPr>
            </control>
          </mc:Choice>
        </mc:AlternateContent>
        <mc:AlternateContent xmlns:mc="http://schemas.openxmlformats.org/markup-compatibility/2006">
          <mc:Choice Requires="x14">
            <control shapeId="1122" r:id="rId13" name="Check Box 98">
              <controlPr locked="0" defaultSize="0" autoFill="0" autoLine="0" autoPict="0" altText="Gemüsebau">
                <anchor moveWithCells="1">
                  <from>
                    <xdr:col>8</xdr:col>
                    <xdr:colOff>342900</xdr:colOff>
                    <xdr:row>47</xdr:row>
                    <xdr:rowOff>190500</xdr:rowOff>
                  </from>
                  <to>
                    <xdr:col>12</xdr:col>
                    <xdr:colOff>85725</xdr:colOff>
                    <xdr:row>49</xdr:row>
                    <xdr:rowOff>0</xdr:rowOff>
                  </to>
                </anchor>
              </controlPr>
            </control>
          </mc:Choice>
        </mc:AlternateContent>
        <mc:AlternateContent xmlns:mc="http://schemas.openxmlformats.org/markup-compatibility/2006">
          <mc:Choice Requires="x14">
            <control shapeId="1578" r:id="rId14" name="Check Box 554">
              <controlPr locked="0" defaultSize="0" autoFill="0" autoLine="0" autoPict="0">
                <anchor moveWithCells="1">
                  <from>
                    <xdr:col>1</xdr:col>
                    <xdr:colOff>209550</xdr:colOff>
                    <xdr:row>204</xdr:row>
                    <xdr:rowOff>0</xdr:rowOff>
                  </from>
                  <to>
                    <xdr:col>1</xdr:col>
                    <xdr:colOff>514350</xdr:colOff>
                    <xdr:row>205</xdr:row>
                    <xdr:rowOff>19050</xdr:rowOff>
                  </to>
                </anchor>
              </controlPr>
            </control>
          </mc:Choice>
        </mc:AlternateContent>
        <mc:AlternateContent xmlns:mc="http://schemas.openxmlformats.org/markup-compatibility/2006">
          <mc:Choice Requires="x14">
            <control shapeId="1635" r:id="rId15" name="Check Box 611">
              <controlPr locked="0" defaultSize="0" autoFill="0" autoLine="0" autoPict="0">
                <anchor moveWithCells="1">
                  <from>
                    <xdr:col>1</xdr:col>
                    <xdr:colOff>209550</xdr:colOff>
                    <xdr:row>193</xdr:row>
                    <xdr:rowOff>0</xdr:rowOff>
                  </from>
                  <to>
                    <xdr:col>1</xdr:col>
                    <xdr:colOff>514350</xdr:colOff>
                    <xdr:row>194</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6CB3D-E572-477E-B7AC-545E2A15E5FB}">
  <sheetPr>
    <tabColor theme="8" tint="0.39997558519241921"/>
  </sheetPr>
  <dimension ref="A1:CA234"/>
  <sheetViews>
    <sheetView showOutlineSymbols="0" zoomScale="130" zoomScaleNormal="130" zoomScaleSheetLayoutView="100" workbookViewId="0">
      <pane xSplit="1" ySplit="1" topLeftCell="B2" activePane="bottomRight" state="frozen"/>
      <selection activeCell="B3" sqref="B3"/>
      <selection pane="topRight" activeCell="B3" sqref="B3"/>
      <selection pane="bottomLeft" activeCell="B3" sqref="B3"/>
      <selection pane="bottomRight" activeCell="B13" sqref="B13"/>
    </sheetView>
  </sheetViews>
  <sheetFormatPr baseColWidth="10" defaultColWidth="11.5703125" defaultRowHeight="16.5" outlineLevelRow="1"/>
  <cols>
    <col min="1" max="1" width="5" style="222" customWidth="1"/>
    <col min="2" max="2" width="9.85546875" style="231" customWidth="1"/>
    <col min="3" max="3" width="7.42578125" style="231" customWidth="1"/>
    <col min="4" max="4" width="9.5703125" style="231" customWidth="1"/>
    <col min="5" max="5" width="8.140625" style="231" customWidth="1"/>
    <col min="6" max="6" width="1.140625" style="231" customWidth="1"/>
    <col min="7" max="7" width="8.5703125" style="231" customWidth="1"/>
    <col min="8" max="8" width="1.140625" style="231" customWidth="1"/>
    <col min="9" max="9" width="8.85546875" style="231" customWidth="1"/>
    <col min="10" max="10" width="1.140625" style="231" customWidth="1"/>
    <col min="11" max="11" width="9.7109375" style="231" customWidth="1"/>
    <col min="12" max="12" width="1.140625" style="231" customWidth="1"/>
    <col min="13" max="13" width="8.85546875" style="233" customWidth="1"/>
    <col min="14" max="14" width="9.85546875" style="238" customWidth="1"/>
    <col min="15" max="18" width="7.85546875" style="233" customWidth="1"/>
    <col min="19" max="20" width="7.28515625" style="233" customWidth="1"/>
    <col min="21" max="21" width="9" style="226" customWidth="1"/>
    <col min="22" max="23" width="9.42578125" style="234" hidden="1" customWidth="1"/>
    <col min="24" max="24" width="9.42578125" style="229" hidden="1" customWidth="1"/>
    <col min="25" max="25" width="9.42578125" style="230" hidden="1" customWidth="1"/>
    <col min="26" max="26" width="9.42578125" style="229" hidden="1" customWidth="1"/>
    <col min="27" max="27" width="9.42578125" style="230" hidden="1" customWidth="1"/>
    <col min="28" max="28" width="9.42578125" style="229" hidden="1" customWidth="1"/>
    <col min="29" max="29" width="9.42578125" style="230" hidden="1" customWidth="1"/>
    <col min="30" max="30" width="9.42578125" style="229" hidden="1" customWidth="1"/>
    <col min="31" max="31" width="9.42578125" style="230" hidden="1" customWidth="1"/>
    <col min="32" max="32" width="9.42578125" style="229" hidden="1" customWidth="1"/>
    <col min="33" max="33" width="9.42578125" style="230" hidden="1" customWidth="1"/>
    <col min="34" max="34" width="9.42578125" style="229" hidden="1" customWidth="1"/>
    <col min="35" max="35" width="9.42578125" style="230" hidden="1" customWidth="1"/>
    <col min="36" max="36" width="9.42578125" style="231" customWidth="1"/>
    <col min="37" max="80" width="6" style="231" customWidth="1"/>
    <col min="81" max="16384" width="11.5703125" style="231"/>
  </cols>
  <sheetData>
    <row r="1" spans="1:35" s="216" customFormat="1" ht="24.95" customHeight="1">
      <c r="A1" s="215" t="s">
        <v>350</v>
      </c>
      <c r="C1" s="217"/>
      <c r="J1" s="218"/>
      <c r="K1" s="218" t="s">
        <v>5</v>
      </c>
      <c r="L1" s="218"/>
      <c r="M1" s="219">
        <f>+N232</f>
        <v>0</v>
      </c>
      <c r="N1" s="220"/>
      <c r="U1" s="221">
        <f>+IF(LN&gt;1,LN) + SUM(B14:B16) + SUM(B27:B28) + B31 + IF(Nutzungsparzellen&gt;1,Nutzungsparzellen) + B50 + SUM(G58:M73) + SUM(B100:B102) + SUM(B105:B115) + SUM(B119:B193) + SUM(B208:B213) + SUM(G199:G202) + SUM(M217:M223)</f>
        <v>0</v>
      </c>
      <c r="V1" s="216" t="s">
        <v>91</v>
      </c>
      <c r="W1" s="216" t="s">
        <v>92</v>
      </c>
      <c r="X1" s="216" t="s">
        <v>79</v>
      </c>
      <c r="Y1" s="216" t="s">
        <v>80</v>
      </c>
      <c r="Z1" s="216" t="s">
        <v>81</v>
      </c>
      <c r="AA1" s="216" t="s">
        <v>82</v>
      </c>
      <c r="AB1" s="216" t="s">
        <v>83</v>
      </c>
      <c r="AC1" s="216" t="s">
        <v>84</v>
      </c>
      <c r="AD1" s="216" t="s">
        <v>85</v>
      </c>
      <c r="AE1" s="216" t="s">
        <v>86</v>
      </c>
      <c r="AF1" s="216" t="s">
        <v>87</v>
      </c>
      <c r="AG1" s="216" t="s">
        <v>88</v>
      </c>
      <c r="AH1" s="216" t="s">
        <v>89</v>
      </c>
      <c r="AI1" s="216" t="s">
        <v>90</v>
      </c>
    </row>
    <row r="2" spans="1:35" s="224" customFormat="1" ht="51" customHeight="1">
      <c r="A2" s="222"/>
      <c r="B2" s="223"/>
      <c r="C2" s="223"/>
      <c r="I2" s="223"/>
      <c r="J2" s="223"/>
      <c r="K2" s="223"/>
      <c r="L2" s="223"/>
      <c r="M2" s="225"/>
      <c r="N2" s="226"/>
      <c r="O2" s="227"/>
      <c r="P2" s="227"/>
      <c r="Q2" s="227"/>
      <c r="R2" s="227"/>
      <c r="S2" s="227"/>
      <c r="T2" s="227"/>
      <c r="U2" s="223"/>
      <c r="V2" s="228"/>
      <c r="W2" s="228"/>
      <c r="X2" s="229"/>
      <c r="Y2" s="230"/>
      <c r="Z2" s="229"/>
      <c r="AA2" s="230"/>
      <c r="AB2" s="229"/>
      <c r="AC2" s="230"/>
      <c r="AD2" s="229"/>
      <c r="AE2" s="230"/>
      <c r="AF2" s="229"/>
      <c r="AG2" s="230"/>
      <c r="AH2" s="229"/>
      <c r="AI2" s="230"/>
    </row>
    <row r="3" spans="1:35" ht="6" customHeight="1">
      <c r="D3" s="232"/>
      <c r="E3" s="232"/>
      <c r="F3" s="232"/>
      <c r="G3" s="232"/>
      <c r="H3" s="232"/>
      <c r="N3" s="233"/>
    </row>
    <row r="4" spans="1:35" s="224" customFormat="1" ht="15.95" customHeight="1">
      <c r="A4" s="235" t="s">
        <v>70</v>
      </c>
      <c r="C4" s="223"/>
      <c r="D4" s="223"/>
      <c r="E4" s="223"/>
      <c r="F4" s="223"/>
      <c r="G4" s="223"/>
      <c r="H4" s="223"/>
      <c r="I4" s="223"/>
      <c r="J4" s="223"/>
      <c r="K4" s="223"/>
      <c r="L4" s="223"/>
      <c r="M4" s="225"/>
      <c r="N4" s="226"/>
      <c r="O4" s="227"/>
      <c r="P4" s="227"/>
      <c r="Q4" s="227"/>
      <c r="R4" s="227"/>
      <c r="S4" s="227"/>
      <c r="T4" s="236"/>
      <c r="U4" s="236" t="s">
        <v>481</v>
      </c>
      <c r="V4" s="228"/>
      <c r="W4" s="228"/>
      <c r="X4" s="229"/>
      <c r="Y4" s="230"/>
      <c r="Z4" s="229"/>
      <c r="AA4" s="230"/>
      <c r="AB4" s="229"/>
      <c r="AC4" s="230"/>
      <c r="AD4" s="229"/>
      <c r="AE4" s="230"/>
      <c r="AF4" s="229"/>
      <c r="AG4" s="230"/>
      <c r="AH4" s="229"/>
      <c r="AI4" s="230"/>
    </row>
    <row r="5" spans="1:35" ht="6" customHeight="1">
      <c r="D5" s="232"/>
      <c r="E5" s="232"/>
      <c r="F5" s="232"/>
      <c r="G5" s="232"/>
      <c r="H5" s="232"/>
      <c r="N5" s="233"/>
    </row>
    <row r="6" spans="1:35" ht="15.95" customHeight="1">
      <c r="A6" s="237" t="s">
        <v>349</v>
      </c>
      <c r="O6" s="231"/>
      <c r="P6" s="231"/>
      <c r="Q6" s="231"/>
      <c r="R6" s="231"/>
      <c r="S6" s="231"/>
      <c r="T6" s="231"/>
      <c r="U6" s="239" t="s">
        <v>348</v>
      </c>
      <c r="V6" s="229"/>
      <c r="W6" s="229"/>
    </row>
    <row r="7" spans="1:35" ht="6" customHeight="1">
      <c r="D7" s="232"/>
      <c r="E7" s="232"/>
      <c r="F7" s="232"/>
      <c r="G7" s="232"/>
      <c r="H7" s="232"/>
      <c r="N7" s="233"/>
    </row>
    <row r="8" spans="1:35" ht="14.45" customHeight="1">
      <c r="A8" s="530" t="s">
        <v>145</v>
      </c>
      <c r="B8" s="530"/>
      <c r="C8" s="530"/>
      <c r="D8" s="530"/>
      <c r="E8" s="530"/>
      <c r="F8" s="530"/>
      <c r="G8" s="530"/>
      <c r="H8" s="530"/>
      <c r="I8" s="530"/>
      <c r="J8" s="530"/>
      <c r="K8" s="530"/>
      <c r="L8" s="530"/>
      <c r="M8" s="530"/>
      <c r="N8" s="530"/>
      <c r="O8" s="530"/>
      <c r="P8" s="530"/>
      <c r="Q8" s="530"/>
      <c r="R8" s="530"/>
      <c r="S8" s="530"/>
      <c r="T8" s="530"/>
      <c r="U8" s="530"/>
    </row>
    <row r="9" spans="1:35" ht="15.95" customHeight="1">
      <c r="D9" s="232"/>
      <c r="E9" s="232"/>
      <c r="F9" s="232"/>
      <c r="G9" s="232"/>
      <c r="H9" s="232"/>
      <c r="M9" s="79" t="str">
        <f>IF(Warnung&gt;0,"ACHTUNG: Daten in mehreren Blättern - führt zu falschen Ergebnissen","")</f>
        <v/>
      </c>
      <c r="N9" s="233"/>
    </row>
    <row r="10" spans="1:35" s="242" customFormat="1" ht="20.100000000000001" customHeight="1">
      <c r="A10" s="241" t="s">
        <v>67</v>
      </c>
      <c r="C10" s="241"/>
      <c r="K10" s="243"/>
      <c r="L10" s="243"/>
      <c r="M10" s="244"/>
      <c r="N10" s="245"/>
      <c r="O10" s="246"/>
      <c r="P10" s="246"/>
      <c r="Q10" s="246"/>
      <c r="R10" s="246"/>
      <c r="S10" s="246"/>
      <c r="T10" s="246"/>
      <c r="U10" s="247"/>
      <c r="V10" s="234"/>
      <c r="W10" s="234"/>
      <c r="X10" s="229"/>
      <c r="Y10" s="230"/>
      <c r="Z10" s="229"/>
      <c r="AA10" s="230"/>
      <c r="AB10" s="229"/>
      <c r="AC10" s="230"/>
      <c r="AD10" s="229"/>
      <c r="AE10" s="230"/>
      <c r="AF10" s="229"/>
      <c r="AG10" s="230"/>
      <c r="AH10" s="229"/>
      <c r="AI10" s="230"/>
    </row>
    <row r="11" spans="1:35" ht="6" customHeight="1">
      <c r="D11" s="232"/>
      <c r="E11" s="232"/>
      <c r="F11" s="232"/>
      <c r="G11" s="232"/>
      <c r="H11" s="232"/>
      <c r="N11" s="233"/>
    </row>
    <row r="12" spans="1:35" ht="15.95" customHeight="1">
      <c r="A12" s="222">
        <v>1</v>
      </c>
      <c r="B12" s="248" t="s">
        <v>32</v>
      </c>
      <c r="O12" s="238"/>
      <c r="P12" s="249"/>
      <c r="Q12" s="249"/>
      <c r="R12" s="249"/>
      <c r="S12" s="249"/>
      <c r="T12" s="249"/>
      <c r="U12" s="249"/>
      <c r="V12" s="229"/>
      <c r="W12" s="229"/>
    </row>
    <row r="13" spans="1:35" s="224" customFormat="1" ht="15.95" customHeight="1">
      <c r="A13" s="222">
        <v>1.1000000000000001</v>
      </c>
      <c r="B13" s="250">
        <v>1</v>
      </c>
      <c r="C13" s="526" t="s">
        <v>28</v>
      </c>
      <c r="D13" s="526"/>
      <c r="E13" s="526"/>
      <c r="F13" s="526"/>
      <c r="G13" s="526"/>
      <c r="H13" s="526"/>
      <c r="I13" s="251" t="s">
        <v>8</v>
      </c>
      <c r="M13" s="226"/>
      <c r="N13" s="226"/>
      <c r="O13" s="231" t="s">
        <v>103</v>
      </c>
      <c r="P13" s="231"/>
      <c r="Q13" s="532"/>
      <c r="R13" s="532"/>
      <c r="S13" s="532"/>
      <c r="T13" s="532"/>
      <c r="U13" s="532"/>
      <c r="V13" s="252"/>
      <c r="W13" s="252"/>
      <c r="X13" s="252"/>
      <c r="Y13" s="253"/>
      <c r="Z13" s="252"/>
      <c r="AA13" s="253"/>
      <c r="AB13" s="252"/>
      <c r="AC13" s="253"/>
      <c r="AD13" s="252"/>
      <c r="AE13" s="253"/>
      <c r="AF13" s="252"/>
      <c r="AG13" s="253"/>
      <c r="AH13" s="252"/>
      <c r="AI13" s="253"/>
    </row>
    <row r="14" spans="1:35" s="224" customFormat="1" ht="15.95" customHeight="1">
      <c r="A14" s="254" t="s">
        <v>25</v>
      </c>
      <c r="B14" s="250">
        <v>0</v>
      </c>
      <c r="C14" s="526" t="s">
        <v>29</v>
      </c>
      <c r="D14" s="526"/>
      <c r="E14" s="526"/>
      <c r="F14" s="526"/>
      <c r="G14" s="526"/>
      <c r="H14" s="526"/>
      <c r="I14" s="255">
        <f>+DGL/LN</f>
        <v>0</v>
      </c>
      <c r="M14" s="226"/>
      <c r="N14" s="226"/>
      <c r="P14" s="231"/>
      <c r="Q14" s="231"/>
      <c r="R14" s="231"/>
      <c r="S14" s="231"/>
      <c r="T14" s="231"/>
      <c r="V14" s="252"/>
      <c r="W14" s="252"/>
      <c r="X14" s="252"/>
      <c r="Y14" s="253"/>
      <c r="Z14" s="252"/>
      <c r="AA14" s="253"/>
      <c r="AB14" s="252"/>
      <c r="AC14" s="253"/>
      <c r="AD14" s="252"/>
      <c r="AE14" s="253"/>
      <c r="AF14" s="252"/>
      <c r="AG14" s="253"/>
      <c r="AH14" s="252"/>
      <c r="AI14" s="253"/>
    </row>
    <row r="15" spans="1:35" s="224" customFormat="1" ht="15.95" customHeight="1">
      <c r="A15" s="256" t="s">
        <v>26</v>
      </c>
      <c r="B15" s="250">
        <v>0</v>
      </c>
      <c r="C15" s="526" t="s">
        <v>30</v>
      </c>
      <c r="D15" s="526"/>
      <c r="E15" s="526"/>
      <c r="F15" s="526"/>
      <c r="G15" s="526"/>
      <c r="H15" s="526"/>
      <c r="I15" s="255">
        <f>+offene_Ackerfläche/LN</f>
        <v>0</v>
      </c>
      <c r="M15" s="226"/>
      <c r="N15" s="226"/>
      <c r="O15" s="231" t="s">
        <v>110</v>
      </c>
      <c r="P15" s="231"/>
      <c r="Q15" s="532"/>
      <c r="R15" s="532"/>
      <c r="S15" s="532"/>
      <c r="T15" s="532"/>
      <c r="U15" s="532"/>
      <c r="V15" s="252"/>
      <c r="W15" s="252" t="s">
        <v>347</v>
      </c>
      <c r="X15" s="252"/>
      <c r="Y15" s="253"/>
      <c r="Z15" s="252"/>
      <c r="AA15" s="253"/>
      <c r="AB15" s="252"/>
      <c r="AC15" s="253"/>
      <c r="AD15" s="252"/>
      <c r="AE15" s="253"/>
      <c r="AF15" s="252"/>
      <c r="AG15" s="253"/>
      <c r="AH15" s="252"/>
      <c r="AI15" s="253"/>
    </row>
    <row r="16" spans="1:35" s="224" customFormat="1" ht="15.95" customHeight="1">
      <c r="A16" s="256" t="s">
        <v>27</v>
      </c>
      <c r="B16" s="250">
        <v>0</v>
      </c>
      <c r="C16" s="526" t="s">
        <v>129</v>
      </c>
      <c r="D16" s="526"/>
      <c r="E16" s="526"/>
      <c r="F16" s="526"/>
      <c r="G16" s="526"/>
      <c r="H16" s="526"/>
      <c r="I16" s="255">
        <f>+B16/LN</f>
        <v>0</v>
      </c>
      <c r="K16" s="257">
        <f>MAX(SUM(B14:B16),1)</f>
        <v>1</v>
      </c>
      <c r="M16" s="226"/>
      <c r="N16" s="226"/>
      <c r="V16" s="252"/>
      <c r="W16" s="252"/>
      <c r="X16" s="252"/>
      <c r="Y16" s="253"/>
      <c r="Z16" s="252"/>
      <c r="AA16" s="253"/>
      <c r="AB16" s="252"/>
      <c r="AC16" s="253"/>
      <c r="AD16" s="252"/>
      <c r="AE16" s="253"/>
      <c r="AF16" s="252"/>
      <c r="AG16" s="253"/>
      <c r="AH16" s="252"/>
      <c r="AI16" s="253"/>
    </row>
    <row r="17" spans="1:40" s="224" customFormat="1" ht="15.95" customHeight="1">
      <c r="A17" s="256" t="s">
        <v>31</v>
      </c>
      <c r="B17" s="109" t="s">
        <v>2</v>
      </c>
      <c r="C17" s="258">
        <f>+B16+offene_Ackerfläche</f>
        <v>0</v>
      </c>
      <c r="D17" s="526" t="s">
        <v>380</v>
      </c>
      <c r="E17" s="526"/>
      <c r="F17" s="526"/>
      <c r="G17" s="526"/>
      <c r="H17" s="526"/>
      <c r="I17" s="255">
        <f>+Ackerfläche/LN</f>
        <v>0</v>
      </c>
      <c r="M17" s="226"/>
      <c r="N17" s="226"/>
      <c r="O17" s="231" t="s">
        <v>104</v>
      </c>
      <c r="P17" s="231"/>
      <c r="Q17" s="259"/>
      <c r="R17" s="231" t="s">
        <v>105</v>
      </c>
      <c r="S17" s="532"/>
      <c r="T17" s="532"/>
      <c r="U17" s="532"/>
      <c r="V17" s="252"/>
      <c r="W17" s="252"/>
      <c r="X17" s="252"/>
      <c r="Y17" s="253"/>
      <c r="Z17" s="252"/>
      <c r="AA17" s="253"/>
      <c r="AB17" s="252"/>
      <c r="AC17" s="253"/>
      <c r="AD17" s="252"/>
      <c r="AE17" s="253"/>
      <c r="AF17" s="252"/>
      <c r="AG17" s="253"/>
      <c r="AH17" s="252"/>
      <c r="AI17" s="253"/>
    </row>
    <row r="18" spans="1:40" s="224" customFormat="1" ht="15.95" customHeight="1">
      <c r="A18" s="254" t="s">
        <v>115</v>
      </c>
      <c r="B18" s="258">
        <f>+LN-SUM(B14:B16)</f>
        <v>1</v>
      </c>
      <c r="C18" s="533" t="s">
        <v>317</v>
      </c>
      <c r="D18" s="533"/>
      <c r="E18" s="533"/>
      <c r="F18" s="533"/>
      <c r="G18" s="533"/>
      <c r="H18" s="533"/>
      <c r="I18" s="533"/>
      <c r="O18" s="231"/>
      <c r="P18" s="231"/>
      <c r="Q18" s="231"/>
      <c r="R18" s="231"/>
      <c r="S18" s="231"/>
      <c r="T18" s="231"/>
      <c r="V18" s="252"/>
      <c r="W18" s="252"/>
      <c r="X18" s="252"/>
      <c r="Y18" s="253"/>
      <c r="Z18" s="252"/>
      <c r="AA18" s="253"/>
      <c r="AB18" s="252"/>
      <c r="AC18" s="253"/>
      <c r="AD18" s="252"/>
      <c r="AE18" s="253"/>
      <c r="AF18" s="252"/>
      <c r="AG18" s="253"/>
      <c r="AH18" s="252"/>
      <c r="AI18" s="253"/>
    </row>
    <row r="19" spans="1:40" ht="6" customHeight="1">
      <c r="C19" s="261" t="s">
        <v>2</v>
      </c>
      <c r="D19" s="262">
        <f>+DGL+Streuefläche+G68</f>
        <v>0</v>
      </c>
      <c r="E19" s="263" t="s">
        <v>346</v>
      </c>
      <c r="F19" s="264"/>
      <c r="G19" s="264"/>
      <c r="H19" s="264"/>
      <c r="I19" s="265"/>
      <c r="N19" s="233"/>
      <c r="O19" s="231"/>
      <c r="P19" s="231"/>
      <c r="Q19" s="231"/>
      <c r="R19" s="231"/>
      <c r="S19" s="231"/>
      <c r="T19" s="231"/>
      <c r="U19" s="224"/>
    </row>
    <row r="20" spans="1:40" s="69" customFormat="1" ht="15.95" customHeight="1">
      <c r="A20" s="114"/>
      <c r="B20" s="512" t="s">
        <v>389</v>
      </c>
      <c r="C20" s="512"/>
      <c r="D20" s="512"/>
      <c r="E20" s="512"/>
      <c r="F20" s="512"/>
      <c r="G20" s="512"/>
      <c r="H20" s="512"/>
      <c r="I20" s="512"/>
      <c r="J20" s="512"/>
      <c r="K20" s="512"/>
      <c r="L20" s="512"/>
      <c r="M20" s="512"/>
      <c r="N20" s="512"/>
      <c r="O20" s="114"/>
      <c r="P20" s="114"/>
      <c r="Q20" s="114"/>
      <c r="R20" s="114"/>
      <c r="S20" s="114"/>
      <c r="T20" s="114"/>
      <c r="U20" s="114"/>
      <c r="V20" s="50"/>
      <c r="W20" s="50"/>
      <c r="X20" s="51"/>
      <c r="Y20" s="52"/>
      <c r="Z20" s="51"/>
      <c r="AA20" s="52"/>
      <c r="AB20" s="51"/>
      <c r="AC20" s="52"/>
      <c r="AD20" s="51"/>
      <c r="AE20" s="52"/>
      <c r="AF20" s="51"/>
      <c r="AG20" s="52"/>
      <c r="AH20" s="51"/>
      <c r="AI20" s="52"/>
      <c r="AJ20" s="73"/>
      <c r="AK20" s="74"/>
      <c r="AL20" s="74"/>
      <c r="AM20" s="74"/>
      <c r="AN20" s="74"/>
    </row>
    <row r="21" spans="1:40" s="69" customFormat="1" ht="15.95" customHeight="1">
      <c r="A21" s="114"/>
      <c r="B21" s="110">
        <f>+LNB</f>
        <v>1</v>
      </c>
      <c r="C21" s="511" t="s">
        <v>28</v>
      </c>
      <c r="D21" s="511"/>
      <c r="E21" s="511"/>
      <c r="F21" s="511"/>
      <c r="G21" s="511"/>
      <c r="H21" s="511"/>
      <c r="I21" s="114"/>
      <c r="J21" s="114"/>
      <c r="K21" s="114"/>
      <c r="L21" s="114"/>
      <c r="M21" s="114"/>
      <c r="N21" s="114"/>
      <c r="O21" s="114"/>
      <c r="P21" s="114"/>
      <c r="Q21" s="114"/>
      <c r="R21" s="114"/>
      <c r="S21" s="114"/>
      <c r="T21" s="114"/>
      <c r="U21" s="114"/>
      <c r="V21" s="50"/>
      <c r="W21" s="50"/>
      <c r="X21" s="51"/>
      <c r="Y21" s="52"/>
      <c r="Z21" s="51"/>
      <c r="AA21" s="52"/>
      <c r="AB21" s="51"/>
      <c r="AC21" s="52"/>
      <c r="AD21" s="51"/>
      <c r="AE21" s="52"/>
      <c r="AF21" s="51"/>
      <c r="AG21" s="52"/>
      <c r="AH21" s="51"/>
      <c r="AI21" s="52"/>
      <c r="AJ21" s="73"/>
      <c r="AK21" s="74"/>
      <c r="AL21" s="74"/>
      <c r="AM21" s="74"/>
      <c r="AN21" s="74"/>
    </row>
    <row r="22" spans="1:40" s="64" customFormat="1" ht="15.95" customHeight="1">
      <c r="A22" s="98" t="s">
        <v>311</v>
      </c>
      <c r="B22" s="88">
        <v>0</v>
      </c>
      <c r="C22" s="511" t="s">
        <v>318</v>
      </c>
      <c r="D22" s="511"/>
      <c r="E22" s="511"/>
      <c r="F22" s="511"/>
      <c r="G22" s="511"/>
      <c r="H22" s="511"/>
      <c r="I22" s="115"/>
      <c r="J22" s="69"/>
      <c r="K22" s="110"/>
      <c r="L22" s="69"/>
      <c r="M22" s="69"/>
      <c r="N22" s="69"/>
      <c r="O22" s="96"/>
      <c r="P22" s="96"/>
      <c r="Q22" s="116"/>
      <c r="R22" s="69"/>
      <c r="S22" s="117"/>
      <c r="T22" s="117"/>
      <c r="U22" s="117"/>
      <c r="V22" s="50"/>
      <c r="W22" s="50"/>
      <c r="X22" s="51"/>
      <c r="Y22" s="52"/>
      <c r="Z22" s="51"/>
      <c r="AA22" s="52"/>
      <c r="AB22" s="51"/>
      <c r="AC22" s="52"/>
      <c r="AD22" s="51"/>
      <c r="AE22" s="52"/>
      <c r="AF22" s="51"/>
      <c r="AG22" s="52"/>
      <c r="AH22" s="51"/>
      <c r="AI22" s="52"/>
      <c r="AJ22" s="68"/>
      <c r="AK22" s="32"/>
      <c r="AL22" s="32"/>
      <c r="AM22" s="32"/>
      <c r="AN22" s="32"/>
    </row>
    <row r="23" spans="1:40" s="69" customFormat="1" ht="15.95" customHeight="1">
      <c r="A23" s="415" t="s">
        <v>312</v>
      </c>
      <c r="B23" s="110">
        <f>+LNB-Spezialkulturen</f>
        <v>1</v>
      </c>
      <c r="C23" s="511" t="s">
        <v>354</v>
      </c>
      <c r="D23" s="511"/>
      <c r="E23" s="511"/>
      <c r="F23" s="511"/>
      <c r="G23" s="511"/>
      <c r="H23" s="511"/>
      <c r="I23" s="114"/>
      <c r="J23" s="114"/>
      <c r="K23" s="114"/>
      <c r="L23" s="114"/>
      <c r="M23" s="114"/>
      <c r="N23" s="114"/>
      <c r="O23" s="114"/>
      <c r="P23" s="114"/>
      <c r="Q23" s="114"/>
      <c r="R23" s="114"/>
      <c r="S23" s="114"/>
      <c r="T23" s="114"/>
      <c r="U23" s="114"/>
      <c r="V23" s="50"/>
      <c r="W23" s="50"/>
      <c r="X23" s="51"/>
      <c r="Y23" s="52"/>
      <c r="Z23" s="51"/>
      <c r="AA23" s="52"/>
      <c r="AB23" s="51"/>
      <c r="AC23" s="52"/>
      <c r="AD23" s="51"/>
      <c r="AE23" s="52"/>
      <c r="AF23" s="51"/>
      <c r="AG23" s="52"/>
      <c r="AH23" s="51"/>
      <c r="AI23" s="52"/>
      <c r="AJ23" s="73"/>
      <c r="AK23" s="74"/>
      <c r="AL23" s="74"/>
      <c r="AM23" s="74"/>
      <c r="AN23" s="74"/>
    </row>
    <row r="24" spans="1:40" s="69" customFormat="1" ht="6" customHeight="1">
      <c r="A24" s="114"/>
      <c r="B24" s="110"/>
      <c r="C24" s="89"/>
      <c r="D24" s="89"/>
      <c r="E24" s="89"/>
      <c r="F24" s="89"/>
      <c r="G24" s="89"/>
      <c r="H24" s="89"/>
      <c r="I24" s="114"/>
      <c r="J24" s="114"/>
      <c r="K24" s="114"/>
      <c r="L24" s="114"/>
      <c r="M24" s="114"/>
      <c r="N24" s="114"/>
      <c r="O24" s="114"/>
      <c r="P24" s="114"/>
      <c r="Q24" s="114"/>
      <c r="R24" s="114"/>
      <c r="S24" s="114"/>
      <c r="T24" s="114"/>
      <c r="U24" s="114"/>
      <c r="V24" s="50"/>
      <c r="W24" s="50"/>
      <c r="X24" s="51"/>
      <c r="Y24" s="52"/>
      <c r="Z24" s="51"/>
      <c r="AA24" s="52"/>
      <c r="AB24" s="51"/>
      <c r="AC24" s="52"/>
      <c r="AD24" s="51"/>
      <c r="AE24" s="52"/>
      <c r="AF24" s="51"/>
      <c r="AG24" s="52"/>
      <c r="AH24" s="51"/>
      <c r="AI24" s="52"/>
      <c r="AJ24" s="73"/>
      <c r="AK24" s="74"/>
      <c r="AL24" s="74"/>
      <c r="AM24" s="74"/>
      <c r="AN24" s="74"/>
    </row>
    <row r="25" spans="1:40" ht="15.95" customHeight="1">
      <c r="B25" s="232" t="s">
        <v>390</v>
      </c>
      <c r="C25" s="261"/>
      <c r="D25" s="262"/>
      <c r="E25" s="263"/>
      <c r="F25" s="264"/>
      <c r="G25" s="264"/>
      <c r="H25" s="264"/>
      <c r="I25" s="265"/>
      <c r="N25" s="233"/>
      <c r="O25" s="231"/>
      <c r="P25" s="231"/>
      <c r="Q25" s="231"/>
      <c r="R25" s="231"/>
      <c r="S25" s="231"/>
      <c r="T25" s="231"/>
      <c r="U25" s="224"/>
    </row>
    <row r="26" spans="1:40" ht="15.95" customHeight="1">
      <c r="A26" s="256" t="s">
        <v>53</v>
      </c>
      <c r="B26" s="258">
        <f>LN-B27-B28</f>
        <v>1</v>
      </c>
      <c r="C26" s="526" t="s">
        <v>54</v>
      </c>
      <c r="D26" s="526"/>
      <c r="E26" s="526"/>
      <c r="F26" s="526"/>
      <c r="G26" s="526"/>
      <c r="H26" s="526"/>
      <c r="I26" s="255">
        <f>+B26/LN</f>
        <v>1</v>
      </c>
      <c r="L26" s="266"/>
      <c r="N26" s="233"/>
      <c r="O26" s="231" t="s">
        <v>107</v>
      </c>
      <c r="P26" s="231"/>
      <c r="Q26" s="531"/>
      <c r="R26" s="531"/>
      <c r="S26" s="231" t="s">
        <v>108</v>
      </c>
      <c r="T26" s="231"/>
      <c r="U26" s="267"/>
    </row>
    <row r="27" spans="1:40" ht="15.95" customHeight="1">
      <c r="A27" s="254" t="s">
        <v>55</v>
      </c>
      <c r="B27" s="250">
        <v>0</v>
      </c>
      <c r="C27" s="526" t="s">
        <v>345</v>
      </c>
      <c r="D27" s="526"/>
      <c r="E27" s="526"/>
      <c r="F27" s="526"/>
      <c r="G27" s="526"/>
      <c r="H27" s="526"/>
      <c r="I27" s="255">
        <f>+B27/LN</f>
        <v>0</v>
      </c>
      <c r="K27" s="231" t="str">
        <f>+IF(AND(I27&gt;I26,I27&gt;I28),"Betrieb BZ I","")</f>
        <v/>
      </c>
      <c r="N27" s="233"/>
      <c r="O27" s="231"/>
      <c r="P27" s="231"/>
      <c r="Q27" s="231"/>
      <c r="R27" s="231"/>
      <c r="S27" s="231"/>
      <c r="T27" s="231"/>
      <c r="U27" s="231"/>
    </row>
    <row r="28" spans="1:40" ht="15.95" customHeight="1">
      <c r="A28" s="254" t="s">
        <v>56</v>
      </c>
      <c r="B28" s="250">
        <v>0</v>
      </c>
      <c r="C28" s="526" t="s">
        <v>344</v>
      </c>
      <c r="D28" s="526"/>
      <c r="E28" s="526"/>
      <c r="F28" s="526"/>
      <c r="G28" s="526"/>
      <c r="H28" s="526"/>
      <c r="I28" s="255">
        <f>+B28/LN</f>
        <v>0</v>
      </c>
      <c r="K28" s="231" t="str">
        <f>+IF(AND(I28&gt;I26,I28&gt;=I27),"Betrieb BZ II-IV","")</f>
        <v/>
      </c>
      <c r="N28" s="233"/>
      <c r="O28" s="231" t="s">
        <v>106</v>
      </c>
      <c r="Q28" s="528"/>
      <c r="R28" s="528"/>
      <c r="S28" s="528"/>
      <c r="T28" s="528"/>
      <c r="U28" s="528"/>
    </row>
    <row r="29" spans="1:40" ht="6" customHeight="1">
      <c r="A29" s="231"/>
      <c r="B29" s="266" t="str">
        <f>+IF(AND(I26&gt;I27+I28,B26&lt;&gt;1),"Talbetrieb, bitte füllen sie den Fragebogen 'Talzone' aus","")</f>
        <v/>
      </c>
      <c r="C29" s="266"/>
      <c r="D29" s="263"/>
      <c r="E29" s="263"/>
      <c r="F29" s="264"/>
      <c r="G29" s="264"/>
      <c r="H29" s="264"/>
      <c r="N29" s="233"/>
      <c r="O29" s="231"/>
      <c r="P29" s="231"/>
      <c r="Q29" s="231"/>
      <c r="R29" s="231"/>
      <c r="S29" s="231"/>
      <c r="T29" s="231"/>
      <c r="U29" s="231"/>
    </row>
    <row r="30" spans="1:40" ht="15.95" customHeight="1">
      <c r="B30" s="248" t="s">
        <v>33</v>
      </c>
      <c r="M30" s="268"/>
      <c r="O30" s="240" t="s">
        <v>109</v>
      </c>
      <c r="Q30" s="528"/>
      <c r="R30" s="528"/>
      <c r="S30" s="528"/>
      <c r="T30" s="528"/>
      <c r="U30" s="528"/>
      <c r="AB30" s="269"/>
    </row>
    <row r="31" spans="1:40" s="224" customFormat="1" ht="15.95" customHeight="1">
      <c r="A31" s="222">
        <v>2</v>
      </c>
      <c r="B31" s="270">
        <v>0</v>
      </c>
      <c r="C31" s="526" t="s">
        <v>343</v>
      </c>
      <c r="D31" s="526"/>
      <c r="E31" s="260">
        <f>+B31/LN</f>
        <v>0</v>
      </c>
      <c r="F31" s="224" t="s">
        <v>0</v>
      </c>
      <c r="M31" s="226"/>
      <c r="N31" s="226"/>
      <c r="O31" s="231"/>
      <c r="P31" s="231"/>
      <c r="Q31" s="231"/>
      <c r="R31" s="231"/>
      <c r="S31" s="231"/>
      <c r="T31" s="231"/>
      <c r="V31" s="252"/>
      <c r="W31" s="252"/>
      <c r="X31" s="252"/>
      <c r="Y31" s="253"/>
      <c r="Z31" s="252"/>
      <c r="AA31" s="253"/>
      <c r="AB31" s="252"/>
      <c r="AC31" s="253"/>
      <c r="AD31" s="252"/>
      <c r="AE31" s="253"/>
      <c r="AF31" s="252"/>
      <c r="AG31" s="253"/>
      <c r="AH31" s="252"/>
      <c r="AI31" s="253"/>
    </row>
    <row r="32" spans="1:40" ht="6.6" customHeight="1" outlineLevel="1">
      <c r="D32" s="232"/>
      <c r="E32" s="232"/>
      <c r="F32" s="232"/>
      <c r="G32" s="232"/>
      <c r="H32" s="232"/>
      <c r="N32" s="233"/>
    </row>
    <row r="33" spans="1:40" s="272" customFormat="1" ht="20.100000000000001" customHeight="1">
      <c r="A33" s="271" t="s">
        <v>68</v>
      </c>
      <c r="C33" s="271"/>
      <c r="K33" s="273"/>
      <c r="L33" s="273"/>
      <c r="M33" s="274" t="s">
        <v>9</v>
      </c>
      <c r="N33" s="274"/>
      <c r="O33" s="275" t="s">
        <v>10</v>
      </c>
      <c r="P33" s="275" t="s">
        <v>11</v>
      </c>
      <c r="Q33" s="275" t="s">
        <v>12</v>
      </c>
      <c r="R33" s="275" t="s">
        <v>13</v>
      </c>
      <c r="S33" s="275"/>
      <c r="T33" s="275"/>
      <c r="U33" s="275" t="s">
        <v>15</v>
      </c>
      <c r="V33" s="234"/>
      <c r="W33" s="234"/>
      <c r="X33" s="229"/>
      <c r="Y33" s="230"/>
      <c r="Z33" s="229"/>
      <c r="AA33" s="230"/>
      <c r="AB33" s="229"/>
      <c r="AC33" s="230"/>
      <c r="AD33" s="229"/>
      <c r="AE33" s="230"/>
      <c r="AF33" s="229"/>
      <c r="AG33" s="230"/>
      <c r="AH33" s="229"/>
      <c r="AI33" s="230"/>
    </row>
    <row r="34" spans="1:40" ht="6" customHeight="1" outlineLevel="1">
      <c r="D34" s="232"/>
      <c r="E34" s="232"/>
      <c r="F34" s="232"/>
      <c r="G34" s="232"/>
      <c r="H34" s="232"/>
      <c r="N34" s="233"/>
    </row>
    <row r="35" spans="1:40" s="69" customFormat="1" hidden="1">
      <c r="A35" s="62"/>
      <c r="B35" s="121" t="s">
        <v>33</v>
      </c>
      <c r="M35" s="127"/>
      <c r="N35" s="128"/>
      <c r="O35" s="125"/>
      <c r="P35" s="125"/>
      <c r="Q35" s="125"/>
      <c r="R35" s="125"/>
      <c r="S35" s="125"/>
      <c r="T35" s="125"/>
      <c r="U35" s="129"/>
      <c r="V35" s="50"/>
      <c r="W35" s="50"/>
      <c r="X35" s="51"/>
      <c r="Y35" s="52"/>
      <c r="Z35" s="51"/>
      <c r="AA35" s="52"/>
      <c r="AB35" s="122"/>
      <c r="AC35" s="52"/>
      <c r="AD35" s="51"/>
      <c r="AE35" s="52"/>
      <c r="AF35" s="51"/>
      <c r="AG35" s="52"/>
      <c r="AH35" s="51"/>
      <c r="AI35" s="52"/>
      <c r="AJ35" s="73"/>
      <c r="AK35" s="74"/>
      <c r="AL35" s="74"/>
      <c r="AM35" s="74"/>
      <c r="AN35" s="74"/>
    </row>
    <row r="36" spans="1:40" s="64" customFormat="1" hidden="1">
      <c r="A36" s="62">
        <v>2</v>
      </c>
      <c r="B36" s="130">
        <v>0</v>
      </c>
      <c r="C36" s="64" t="s">
        <v>22</v>
      </c>
      <c r="O36" s="131"/>
      <c r="P36" s="131"/>
      <c r="Q36" s="131"/>
      <c r="R36" s="131"/>
      <c r="S36" s="131"/>
      <c r="T36" s="131"/>
      <c r="U36" s="129"/>
      <c r="V36" s="91"/>
      <c r="W36" s="91"/>
      <c r="X36" s="91"/>
      <c r="Y36" s="92"/>
      <c r="Z36" s="91"/>
      <c r="AA36" s="92"/>
      <c r="AB36" s="91"/>
      <c r="AC36" s="92"/>
      <c r="AD36" s="91"/>
      <c r="AE36" s="92"/>
      <c r="AF36" s="91"/>
      <c r="AG36" s="92"/>
      <c r="AH36" s="91"/>
      <c r="AI36" s="92"/>
      <c r="AJ36" s="68"/>
      <c r="AK36" s="32"/>
      <c r="AL36" s="32"/>
      <c r="AM36" s="32"/>
      <c r="AN36" s="32"/>
    </row>
    <row r="37" spans="1:40" s="64" customFormat="1" hidden="1">
      <c r="A37" s="62"/>
      <c r="B37" s="69"/>
      <c r="C37" s="132" t="s">
        <v>2</v>
      </c>
      <c r="D37" s="124">
        <f>+B36/B13</f>
        <v>0</v>
      </c>
      <c r="E37" s="64" t="s">
        <v>0</v>
      </c>
      <c r="M37" s="127">
        <f>+IF(D37&lt;AD37,AE37,IF(D37&lt;AB37,AC37,IF(D37&lt;=Z37,AA37,IF(D37&lt;=X37,Y37,))))</f>
        <v>3</v>
      </c>
      <c r="O37" s="125" t="str">
        <f>+"&gt;"&amp;Z37&amp;"-"&amp;X37</f>
        <v>&gt;1.3-1.6</v>
      </c>
      <c r="P37" s="133" t="str">
        <f>+AB37&amp;"-"&amp;Z37</f>
        <v>1-1.3</v>
      </c>
      <c r="Q37" s="125" t="str">
        <f>+AB37&amp;"-"&amp;AD37</f>
        <v>1-</v>
      </c>
      <c r="R37" s="125" t="str">
        <f>+"&lt;"&amp;AD37</f>
        <v>&lt;</v>
      </c>
      <c r="S37" s="134"/>
      <c r="T37" s="134"/>
      <c r="U37" s="129" t="s">
        <v>6</v>
      </c>
      <c r="V37" s="135"/>
      <c r="W37" s="136"/>
      <c r="X37" s="91">
        <v>1.6</v>
      </c>
      <c r="Y37" s="92">
        <v>1</v>
      </c>
      <c r="Z37" s="91">
        <v>1.3</v>
      </c>
      <c r="AA37" s="92">
        <v>2</v>
      </c>
      <c r="AB37" s="137">
        <v>1</v>
      </c>
      <c r="AC37" s="92">
        <v>3</v>
      </c>
      <c r="AD37" s="91"/>
      <c r="AE37" s="92"/>
      <c r="AF37" s="91"/>
      <c r="AG37" s="92"/>
      <c r="AH37" s="91"/>
      <c r="AI37" s="92"/>
      <c r="AJ37" s="68"/>
      <c r="AK37" s="32"/>
      <c r="AL37" s="32"/>
      <c r="AM37" s="32"/>
      <c r="AN37" s="32"/>
    </row>
    <row r="38" spans="1:40" s="69" customFormat="1" hidden="1">
      <c r="A38" s="62"/>
      <c r="D38" s="70"/>
      <c r="E38" s="70"/>
      <c r="F38" s="70"/>
      <c r="G38" s="70"/>
      <c r="H38" s="70"/>
      <c r="L38" s="70"/>
      <c r="M38" s="71"/>
      <c r="O38" s="125"/>
      <c r="P38" s="125"/>
      <c r="Q38" s="125"/>
      <c r="R38" s="125"/>
      <c r="S38" s="125"/>
      <c r="T38" s="125"/>
      <c r="U38" s="126"/>
      <c r="V38" s="50"/>
      <c r="W38" s="50"/>
      <c r="X38" s="51"/>
      <c r="Y38" s="52"/>
      <c r="Z38" s="51"/>
      <c r="AA38" s="52"/>
      <c r="AB38" s="51"/>
      <c r="AC38" s="52"/>
      <c r="AD38" s="51"/>
      <c r="AE38" s="52"/>
      <c r="AF38" s="51"/>
      <c r="AG38" s="52"/>
      <c r="AH38" s="51"/>
      <c r="AI38" s="52"/>
      <c r="AJ38" s="73"/>
      <c r="AK38" s="74"/>
      <c r="AL38" s="74"/>
      <c r="AM38" s="74"/>
      <c r="AN38" s="74"/>
    </row>
    <row r="39" spans="1:40" ht="15.95" customHeight="1" outlineLevel="1">
      <c r="B39" s="248" t="s">
        <v>146</v>
      </c>
      <c r="M39" s="268"/>
      <c r="O39" s="276"/>
      <c r="P39" s="276"/>
      <c r="Q39" s="276"/>
      <c r="R39" s="276"/>
      <c r="S39" s="276"/>
      <c r="T39" s="276"/>
      <c r="U39" s="277"/>
      <c r="AB39" s="269"/>
    </row>
    <row r="40" spans="1:40" ht="15.95" customHeight="1" outlineLevel="1">
      <c r="A40" s="222">
        <v>3</v>
      </c>
      <c r="B40" s="278">
        <v>1</v>
      </c>
      <c r="C40" s="526" t="s">
        <v>147</v>
      </c>
      <c r="D40" s="526"/>
      <c r="E40" s="526"/>
      <c r="F40" s="526"/>
      <c r="G40" s="526"/>
      <c r="H40" s="526"/>
      <c r="M40" s="268"/>
      <c r="O40" s="276"/>
      <c r="P40" s="276"/>
      <c r="Q40" s="276"/>
      <c r="R40" s="276"/>
      <c r="S40" s="276"/>
      <c r="T40" s="276"/>
      <c r="U40" s="277"/>
      <c r="AB40" s="269"/>
    </row>
    <row r="41" spans="1:40" s="224" customFormat="1" ht="15.95" customHeight="1" outlineLevel="1">
      <c r="A41" s="222"/>
      <c r="C41" s="109" t="s">
        <v>2</v>
      </c>
      <c r="D41" s="258">
        <f>(LN-öAF_ohne_Bäume)/(Nutzungsparzellen)</f>
        <v>1</v>
      </c>
      <c r="E41" s="224" t="s">
        <v>1</v>
      </c>
      <c r="M41" s="268"/>
      <c r="N41" s="226"/>
      <c r="O41" s="276"/>
      <c r="P41" s="279"/>
      <c r="Q41" s="280"/>
      <c r="R41" s="276"/>
      <c r="S41" s="281"/>
      <c r="T41" s="281"/>
      <c r="U41" s="277"/>
      <c r="V41" s="282"/>
      <c r="W41" s="283"/>
      <c r="X41" s="252"/>
      <c r="Y41" s="253"/>
      <c r="Z41" s="252"/>
      <c r="AA41" s="253"/>
      <c r="AB41" s="284"/>
      <c r="AC41" s="253"/>
      <c r="AD41" s="252"/>
      <c r="AE41" s="253"/>
      <c r="AF41" s="252"/>
      <c r="AG41" s="253"/>
      <c r="AH41" s="252"/>
      <c r="AI41" s="253"/>
    </row>
    <row r="42" spans="1:40" s="224" customFormat="1" ht="15.95" customHeight="1" outlineLevel="1">
      <c r="A42" s="222"/>
      <c r="B42" s="224" t="str">
        <f>+IF(I27&gt;I28,"Betrieb BZ I - II","diese Zeile ist für Betriebe BZ III - IV nicht relevant")</f>
        <v>diese Zeile ist für Betriebe BZ III - IV nicht relevant</v>
      </c>
      <c r="C42" s="109"/>
      <c r="D42" s="260"/>
      <c r="M42" s="285">
        <f>+IF(Nutzungsparzellen=1,0,IF(I27&gt;I28,IF(D41&lt;AD42,AE42,IF(D41&lt;AB42,AC42,IF(D41&lt;Z42,AA42,IF(D41&lt;X42,Y42,0)))),0))</f>
        <v>0</v>
      </c>
      <c r="N42" s="226"/>
      <c r="O42" s="276" t="str">
        <f>Z42&amp;"–"&amp;X42</f>
        <v>1.1–1.3</v>
      </c>
      <c r="P42" s="279" t="str">
        <f>+AB42&amp;"–&lt;"&amp;Z42</f>
        <v>0.9–&lt;1.1</v>
      </c>
      <c r="Q42" s="280" t="str">
        <f>+AD42&amp;"–&lt;"&amp;AB42</f>
        <v>0.7–&lt;0.9</v>
      </c>
      <c r="R42" s="276" t="str">
        <f>+"&lt;"&amp;AD42</f>
        <v>&lt;0.7</v>
      </c>
      <c r="S42" s="281"/>
      <c r="T42" s="281"/>
      <c r="U42" s="277" t="s">
        <v>342</v>
      </c>
      <c r="V42" s="282"/>
      <c r="W42" s="283"/>
      <c r="X42" s="252">
        <v>1.3</v>
      </c>
      <c r="Y42" s="253">
        <v>1</v>
      </c>
      <c r="Z42" s="252">
        <v>1.1000000000000001</v>
      </c>
      <c r="AA42" s="253">
        <v>2</v>
      </c>
      <c r="AB42" s="284">
        <v>0.9</v>
      </c>
      <c r="AC42" s="253">
        <v>3</v>
      </c>
      <c r="AD42" s="252">
        <v>0.7</v>
      </c>
      <c r="AE42" s="253">
        <v>4</v>
      </c>
      <c r="AF42" s="252"/>
      <c r="AG42" s="253"/>
      <c r="AH42" s="252"/>
      <c r="AI42" s="253"/>
    </row>
    <row r="43" spans="1:40" s="224" customFormat="1" ht="15.95" customHeight="1" outlineLevel="1">
      <c r="A43" s="222"/>
      <c r="B43" s="224" t="str">
        <f>+IF(I28&gt;=I27,"Betrieb BZ III - IV","diese Zeile ist für Betriebe BZ I - II nicht relevant")</f>
        <v>Betrieb BZ III - IV</v>
      </c>
      <c r="C43" s="109"/>
      <c r="D43" s="260"/>
      <c r="M43" s="285">
        <f>IF(Nutzungsparzellen=1,0,IF(I28&gt;=I27,IF(D41&lt;AD43,AE43,IF(D41&lt;AB43,AC43,IF(D41&lt;Z43,AA43,IF(D41&lt;X43,Y43,0)))),0))</f>
        <v>0</v>
      </c>
      <c r="N43" s="226"/>
      <c r="O43" s="276" t="str">
        <f>Z43&amp;"–"&amp;X43</f>
        <v>0.9–1.1</v>
      </c>
      <c r="P43" s="279" t="str">
        <f>+AB43&amp;"–&lt;"&amp;Z43</f>
        <v>0.7–&lt;0.9</v>
      </c>
      <c r="Q43" s="280" t="str">
        <f>+AD43&amp;"–&lt;"&amp;AB43</f>
        <v>0.5–&lt;0.7</v>
      </c>
      <c r="R43" s="276" t="str">
        <f>+"&lt;"&amp;AD43</f>
        <v>&lt;0.5</v>
      </c>
      <c r="S43" s="281"/>
      <c r="T43" s="281"/>
      <c r="U43" s="277" t="s">
        <v>342</v>
      </c>
      <c r="V43" s="282">
        <v>2</v>
      </c>
      <c r="W43" s="283"/>
      <c r="X43" s="252">
        <v>1.1000000000000001</v>
      </c>
      <c r="Y43" s="253">
        <v>1</v>
      </c>
      <c r="Z43" s="252">
        <v>0.9</v>
      </c>
      <c r="AA43" s="253">
        <v>2</v>
      </c>
      <c r="AB43" s="284">
        <v>0.7</v>
      </c>
      <c r="AC43" s="253">
        <v>3</v>
      </c>
      <c r="AD43" s="252">
        <v>0.5</v>
      </c>
      <c r="AE43" s="253">
        <v>4</v>
      </c>
      <c r="AF43" s="252"/>
      <c r="AG43" s="253"/>
      <c r="AH43" s="252"/>
      <c r="AI43" s="253"/>
    </row>
    <row r="44" spans="1:40" ht="6" customHeight="1" outlineLevel="1">
      <c r="D44" s="232"/>
      <c r="E44" s="232"/>
      <c r="F44" s="232"/>
      <c r="G44" s="232"/>
      <c r="H44" s="232"/>
      <c r="N44" s="233"/>
      <c r="O44" s="276"/>
      <c r="P44" s="276"/>
      <c r="Q44" s="276"/>
      <c r="R44" s="276"/>
      <c r="S44" s="276"/>
      <c r="T44" s="276"/>
      <c r="U44" s="286"/>
    </row>
    <row r="45" spans="1:40" ht="15.95" customHeight="1" outlineLevel="1">
      <c r="B45" s="534" t="s">
        <v>7</v>
      </c>
      <c r="C45" s="534"/>
      <c r="D45" s="534"/>
      <c r="E45" s="534"/>
      <c r="F45" s="534"/>
      <c r="G45" s="534"/>
      <c r="H45" s="534"/>
      <c r="O45" s="276"/>
      <c r="P45" s="276"/>
      <c r="Q45" s="276"/>
      <c r="R45" s="276"/>
      <c r="S45" s="276"/>
      <c r="T45" s="276"/>
      <c r="U45" s="277"/>
    </row>
    <row r="46" spans="1:40" ht="15.95" customHeight="1" outlineLevel="1">
      <c r="B46" s="526" t="s">
        <v>99</v>
      </c>
      <c r="C46" s="526"/>
      <c r="D46" s="526"/>
      <c r="E46" s="526"/>
      <c r="F46" s="526"/>
      <c r="G46" s="526"/>
      <c r="H46" s="526"/>
      <c r="I46" s="526"/>
      <c r="J46" s="526"/>
      <c r="K46" s="526"/>
      <c r="O46" s="276"/>
      <c r="P46" s="276"/>
      <c r="Q46" s="276"/>
      <c r="R46" s="276"/>
      <c r="S46" s="276"/>
      <c r="T46" s="276"/>
      <c r="U46" s="277"/>
    </row>
    <row r="47" spans="1:40" ht="15.95" customHeight="1">
      <c r="A47" s="287"/>
      <c r="B47" s="288" t="b">
        <v>0</v>
      </c>
      <c r="C47" s="289"/>
      <c r="D47" s="290"/>
      <c r="E47" s="288" t="b">
        <v>0</v>
      </c>
      <c r="F47" s="289"/>
      <c r="G47" s="289"/>
      <c r="H47" s="290"/>
      <c r="I47" s="288" t="b">
        <v>0</v>
      </c>
      <c r="J47" s="289"/>
      <c r="K47" s="289"/>
      <c r="L47" s="233"/>
      <c r="N47" s="291"/>
      <c r="O47" s="276"/>
      <c r="P47" s="276"/>
      <c r="Q47" s="276"/>
      <c r="R47" s="276"/>
      <c r="S47" s="276"/>
      <c r="T47" s="276"/>
      <c r="U47" s="277"/>
    </row>
    <row r="48" spans="1:40" ht="15.95" customHeight="1">
      <c r="A48" s="287"/>
      <c r="B48" s="288" t="b">
        <v>0</v>
      </c>
      <c r="C48" s="289"/>
      <c r="D48" s="289"/>
      <c r="E48" s="288" t="b">
        <v>0</v>
      </c>
      <c r="F48" s="289"/>
      <c r="G48" s="289"/>
      <c r="H48" s="289"/>
      <c r="I48" s="288" t="b">
        <v>0</v>
      </c>
      <c r="J48" s="289"/>
      <c r="K48" s="289"/>
      <c r="L48" s="233"/>
      <c r="N48" s="291"/>
      <c r="O48" s="276"/>
      <c r="P48" s="276"/>
      <c r="Q48" s="276"/>
      <c r="R48" s="276"/>
      <c r="S48" s="276"/>
      <c r="T48" s="276"/>
      <c r="U48" s="277"/>
    </row>
    <row r="49" spans="1:79" ht="15.95" customHeight="1">
      <c r="A49" s="287"/>
      <c r="B49" s="288" t="b">
        <v>0</v>
      </c>
      <c r="C49" s="289"/>
      <c r="D49" s="289"/>
      <c r="E49" s="288" t="b">
        <v>0</v>
      </c>
      <c r="F49" s="288"/>
      <c r="G49" s="289"/>
      <c r="H49" s="289"/>
      <c r="I49" s="288" t="b">
        <v>0</v>
      </c>
      <c r="J49" s="288"/>
      <c r="K49" s="289"/>
      <c r="N49" s="291"/>
      <c r="O49" s="276"/>
      <c r="P49" s="276"/>
      <c r="Q49" s="276"/>
      <c r="R49" s="276"/>
      <c r="S49" s="276"/>
      <c r="T49" s="276"/>
      <c r="U49" s="277"/>
    </row>
    <row r="50" spans="1:79" ht="15.95" customHeight="1" outlineLevel="1">
      <c r="A50" s="222">
        <v>4</v>
      </c>
      <c r="B50" s="231">
        <f>COUNTIF(A47:J49,TRUE)</f>
        <v>0</v>
      </c>
      <c r="C50" s="224" t="s">
        <v>7</v>
      </c>
      <c r="M50" s="285">
        <f>IF(B50&gt;=AD50,AE50,IF(B50&gt;=AB50,AC50,IF(B50&gt;=Z50,AA50,0)))</f>
        <v>0</v>
      </c>
      <c r="O50" s="276"/>
      <c r="P50" s="279">
        <f>+Z50</f>
        <v>2</v>
      </c>
      <c r="Q50" s="276">
        <f>+AB50</f>
        <v>3</v>
      </c>
      <c r="R50" s="276" t="str">
        <f>+"&gt;="&amp;AD50</f>
        <v>&gt;=4</v>
      </c>
      <c r="S50" s="276"/>
      <c r="T50" s="276"/>
      <c r="U50" s="277" t="s">
        <v>7</v>
      </c>
      <c r="V50" s="282">
        <v>2</v>
      </c>
      <c r="W50" s="283"/>
      <c r="Z50" s="229">
        <v>2</v>
      </c>
      <c r="AA50" s="230">
        <v>2</v>
      </c>
      <c r="AB50" s="229">
        <v>3</v>
      </c>
      <c r="AC50" s="230">
        <v>3</v>
      </c>
      <c r="AD50" s="229">
        <v>4</v>
      </c>
      <c r="AE50" s="230">
        <v>4</v>
      </c>
    </row>
    <row r="51" spans="1:79" ht="6" customHeight="1" outlineLevel="1">
      <c r="D51" s="232"/>
      <c r="E51" s="232"/>
      <c r="F51" s="232"/>
      <c r="G51" s="232"/>
      <c r="H51" s="232"/>
      <c r="N51" s="233"/>
      <c r="O51" s="276"/>
      <c r="P51" s="276"/>
      <c r="Q51" s="276"/>
      <c r="R51" s="276"/>
      <c r="S51" s="276"/>
      <c r="T51" s="276"/>
      <c r="U51" s="286"/>
    </row>
    <row r="52" spans="1:79" s="272" customFormat="1" ht="20.100000000000001" customHeight="1" outlineLevel="1">
      <c r="A52" s="271" t="s">
        <v>122</v>
      </c>
      <c r="C52" s="271"/>
      <c r="M52" s="274" t="s">
        <v>9</v>
      </c>
      <c r="N52" s="274" t="s">
        <v>71</v>
      </c>
      <c r="O52" s="275" t="s">
        <v>10</v>
      </c>
      <c r="P52" s="275" t="s">
        <v>11</v>
      </c>
      <c r="Q52" s="275" t="s">
        <v>12</v>
      </c>
      <c r="R52" s="275" t="s">
        <v>13</v>
      </c>
      <c r="S52" s="275" t="s">
        <v>14</v>
      </c>
      <c r="T52" s="275" t="s">
        <v>18</v>
      </c>
      <c r="U52" s="275" t="s">
        <v>15</v>
      </c>
      <c r="V52" s="234"/>
      <c r="W52" s="234"/>
      <c r="X52" s="229"/>
      <c r="Y52" s="230"/>
      <c r="Z52" s="229"/>
      <c r="AA52" s="230"/>
      <c r="AB52" s="229"/>
      <c r="AC52" s="230"/>
      <c r="AD52" s="229"/>
      <c r="AE52" s="230"/>
      <c r="AF52" s="229"/>
      <c r="AG52" s="230"/>
      <c r="AH52" s="229"/>
      <c r="AI52" s="230"/>
      <c r="AJ52" s="292"/>
      <c r="AK52" s="292"/>
      <c r="AL52" s="292"/>
      <c r="AM52" s="292"/>
      <c r="AN52" s="292"/>
      <c r="AO52" s="292"/>
      <c r="AP52" s="292"/>
      <c r="AQ52" s="292"/>
      <c r="AR52" s="292"/>
      <c r="AS52" s="292"/>
      <c r="AT52" s="292"/>
      <c r="AU52" s="292"/>
      <c r="AV52" s="292"/>
      <c r="AW52" s="292"/>
      <c r="AX52" s="292"/>
      <c r="AY52" s="292"/>
      <c r="AZ52" s="292"/>
      <c r="BA52" s="292"/>
      <c r="BB52" s="292"/>
      <c r="BC52" s="292"/>
      <c r="BD52" s="292"/>
      <c r="BE52" s="292"/>
      <c r="BF52" s="292"/>
      <c r="BG52" s="292"/>
      <c r="BH52" s="292"/>
      <c r="BI52" s="292"/>
      <c r="BJ52" s="292"/>
      <c r="BK52" s="292"/>
      <c r="BL52" s="292"/>
      <c r="BM52" s="292"/>
      <c r="BN52" s="292"/>
      <c r="BO52" s="292"/>
      <c r="BP52" s="292"/>
      <c r="BQ52" s="292"/>
      <c r="BR52" s="292"/>
      <c r="BS52" s="292"/>
      <c r="BT52" s="292"/>
      <c r="BU52" s="292"/>
      <c r="BV52" s="292"/>
      <c r="BW52" s="292"/>
      <c r="BX52" s="292"/>
      <c r="BY52" s="292"/>
      <c r="BZ52" s="292"/>
      <c r="CA52" s="292"/>
    </row>
    <row r="53" spans="1:79" ht="6" customHeight="1" outlineLevel="1">
      <c r="D53" s="232"/>
      <c r="E53" s="232"/>
      <c r="F53" s="232"/>
      <c r="G53" s="232"/>
      <c r="H53" s="232"/>
      <c r="N53" s="233"/>
      <c r="O53" s="276"/>
      <c r="P53" s="276"/>
      <c r="Q53" s="276"/>
      <c r="R53" s="276"/>
      <c r="S53" s="276"/>
      <c r="T53" s="276"/>
      <c r="U53" s="286"/>
    </row>
    <row r="54" spans="1:79" ht="15.95" customHeight="1">
      <c r="A54" s="222">
        <v>5</v>
      </c>
      <c r="B54" s="248" t="s">
        <v>121</v>
      </c>
      <c r="I54" s="293"/>
      <c r="J54" s="293"/>
      <c r="K54" s="294"/>
      <c r="L54" s="293"/>
      <c r="O54" s="276"/>
      <c r="P54" s="276"/>
      <c r="Q54" s="276"/>
      <c r="R54" s="276"/>
      <c r="S54" s="276"/>
      <c r="T54" s="276"/>
      <c r="U54" s="277"/>
    </row>
    <row r="55" spans="1:79" ht="15.95" customHeight="1" outlineLevel="1">
      <c r="B55" s="224" t="s">
        <v>341</v>
      </c>
      <c r="G55" s="530" t="s">
        <v>23</v>
      </c>
      <c r="H55" s="530"/>
      <c r="I55" s="529" t="s">
        <v>130</v>
      </c>
      <c r="J55" s="529"/>
      <c r="K55" s="295" t="s">
        <v>153</v>
      </c>
      <c r="L55" s="293"/>
      <c r="O55" s="276"/>
      <c r="P55" s="276"/>
      <c r="Q55" s="276"/>
      <c r="R55" s="276"/>
      <c r="S55" s="276"/>
      <c r="T55" s="276"/>
      <c r="U55" s="277"/>
    </row>
    <row r="56" spans="1:79" ht="15.95" customHeight="1" outlineLevel="1">
      <c r="B56" s="224"/>
      <c r="G56" s="295"/>
      <c r="H56" s="295"/>
      <c r="I56" s="295" t="s">
        <v>128</v>
      </c>
      <c r="J56" s="293"/>
      <c r="K56" s="240" t="s">
        <v>94</v>
      </c>
      <c r="L56" s="295"/>
      <c r="O56" s="276"/>
      <c r="P56" s="276"/>
      <c r="Q56" s="276"/>
      <c r="R56" s="276"/>
      <c r="S56" s="276"/>
      <c r="T56" s="276"/>
      <c r="U56" s="277"/>
    </row>
    <row r="57" spans="1:79" ht="6" customHeight="1">
      <c r="B57" s="224"/>
      <c r="G57" s="295"/>
      <c r="H57" s="295"/>
      <c r="J57" s="293"/>
      <c r="K57" s="233"/>
      <c r="O57" s="276"/>
      <c r="P57" s="276"/>
      <c r="Q57" s="276"/>
      <c r="R57" s="276"/>
      <c r="S57" s="276"/>
      <c r="T57" s="276"/>
      <c r="U57" s="277"/>
    </row>
    <row r="58" spans="1:79" ht="15.95" customHeight="1" outlineLevel="1">
      <c r="A58" s="222">
        <v>5.0999999999999996</v>
      </c>
      <c r="B58" s="526" t="s">
        <v>131</v>
      </c>
      <c r="C58" s="526"/>
      <c r="D58" s="526"/>
      <c r="E58" s="526"/>
      <c r="F58" s="526"/>
      <c r="G58" s="250">
        <v>0</v>
      </c>
      <c r="H58" s="295"/>
      <c r="I58" s="250">
        <v>0</v>
      </c>
      <c r="J58" s="293"/>
      <c r="K58" s="250">
        <v>0</v>
      </c>
      <c r="L58" s="295"/>
      <c r="M58" s="510" t="str">
        <f>IF(SUM(G58:G60, G69)&gt;DGL,"Fläche der BFF auf Grünland darf nicht grösser sein als Dauergrünland","")</f>
        <v/>
      </c>
      <c r="N58" s="296"/>
      <c r="O58" s="276"/>
      <c r="P58" s="276"/>
      <c r="Q58" s="276"/>
      <c r="R58" s="276"/>
      <c r="S58" s="276"/>
      <c r="T58" s="276"/>
      <c r="U58" s="277"/>
    </row>
    <row r="59" spans="1:79" ht="15.95" customHeight="1" outlineLevel="1">
      <c r="A59" s="222">
        <v>5.2</v>
      </c>
      <c r="B59" s="526" t="s">
        <v>133</v>
      </c>
      <c r="C59" s="526"/>
      <c r="D59" s="526"/>
      <c r="E59" s="526"/>
      <c r="F59" s="526"/>
      <c r="G59" s="250">
        <v>0</v>
      </c>
      <c r="H59" s="295"/>
      <c r="I59" s="250">
        <v>0</v>
      </c>
      <c r="J59" s="293"/>
      <c r="K59" s="250">
        <v>0</v>
      </c>
      <c r="L59" s="295"/>
      <c r="N59" s="296"/>
      <c r="O59" s="276"/>
      <c r="P59" s="276"/>
      <c r="Q59" s="276"/>
      <c r="R59" s="276"/>
      <c r="S59" s="276"/>
      <c r="T59" s="276"/>
      <c r="U59" s="277"/>
    </row>
    <row r="60" spans="1:79" ht="15.95" customHeight="1" outlineLevel="1">
      <c r="A60" s="222">
        <v>5.3</v>
      </c>
      <c r="B60" s="526" t="s">
        <v>134</v>
      </c>
      <c r="C60" s="526"/>
      <c r="D60" s="526"/>
      <c r="E60" s="526"/>
      <c r="F60" s="526"/>
      <c r="G60" s="250">
        <v>0</v>
      </c>
      <c r="H60" s="295"/>
      <c r="I60" s="250">
        <v>0</v>
      </c>
      <c r="J60" s="293"/>
      <c r="K60" s="250">
        <v>0</v>
      </c>
      <c r="L60" s="295"/>
      <c r="N60" s="296"/>
      <c r="O60" s="276"/>
      <c r="P60" s="276"/>
      <c r="Q60" s="276"/>
      <c r="R60" s="276"/>
      <c r="S60" s="276"/>
      <c r="T60" s="276"/>
      <c r="U60" s="277"/>
    </row>
    <row r="61" spans="1:79" ht="15.95" customHeight="1" outlineLevel="1">
      <c r="A61" s="222">
        <v>5.4</v>
      </c>
      <c r="B61" s="526" t="s">
        <v>135</v>
      </c>
      <c r="C61" s="526"/>
      <c r="D61" s="526"/>
      <c r="E61" s="526"/>
      <c r="F61" s="526"/>
      <c r="G61" s="250">
        <v>0</v>
      </c>
      <c r="H61" s="295"/>
      <c r="I61" s="258">
        <f>G61</f>
        <v>0</v>
      </c>
      <c r="J61" s="293"/>
      <c r="K61" s="258">
        <f>G61</f>
        <v>0</v>
      </c>
      <c r="L61" s="295"/>
      <c r="N61" s="296"/>
      <c r="O61" s="276"/>
      <c r="P61" s="276"/>
      <c r="Q61" s="276"/>
      <c r="R61" s="276"/>
      <c r="S61" s="276"/>
      <c r="T61" s="276"/>
      <c r="U61" s="277"/>
    </row>
    <row r="62" spans="1:79" ht="15.95" customHeight="1" outlineLevel="1">
      <c r="A62" s="222">
        <v>5.5</v>
      </c>
      <c r="B62" s="526" t="s">
        <v>136</v>
      </c>
      <c r="C62" s="526"/>
      <c r="D62" s="526"/>
      <c r="E62" s="526"/>
      <c r="F62" s="526"/>
      <c r="G62" s="250">
        <v>0</v>
      </c>
      <c r="H62" s="295"/>
      <c r="I62" s="258">
        <f>G62</f>
        <v>0</v>
      </c>
      <c r="J62" s="293"/>
      <c r="K62" s="258">
        <f>G62</f>
        <v>0</v>
      </c>
      <c r="L62" s="295"/>
      <c r="N62" s="296"/>
      <c r="O62" s="276"/>
      <c r="P62" s="276"/>
      <c r="Q62" s="276"/>
      <c r="R62" s="276"/>
      <c r="S62" s="276"/>
      <c r="T62" s="276"/>
      <c r="U62" s="277"/>
    </row>
    <row r="63" spans="1:79" ht="15.95" customHeight="1" outlineLevel="1">
      <c r="A63" s="222">
        <v>5.6</v>
      </c>
      <c r="B63" s="526" t="s">
        <v>191</v>
      </c>
      <c r="C63" s="526"/>
      <c r="D63" s="526"/>
      <c r="E63" s="526"/>
      <c r="F63" s="526"/>
      <c r="G63" s="250">
        <v>0</v>
      </c>
      <c r="H63" s="295"/>
      <c r="I63" s="258">
        <f>G63</f>
        <v>0</v>
      </c>
      <c r="J63" s="293"/>
      <c r="K63" s="258">
        <f>G63</f>
        <v>0</v>
      </c>
      <c r="L63" s="295"/>
      <c r="N63" s="296"/>
      <c r="O63" s="276"/>
      <c r="P63" s="276"/>
      <c r="Q63" s="276"/>
      <c r="R63" s="276"/>
      <c r="S63" s="276"/>
      <c r="T63" s="276"/>
      <c r="U63" s="277"/>
    </row>
    <row r="64" spans="1:79" ht="15.95" customHeight="1" outlineLevel="1">
      <c r="A64" s="222">
        <v>5.7</v>
      </c>
      <c r="B64" s="526" t="s">
        <v>189</v>
      </c>
      <c r="C64" s="526"/>
      <c r="D64" s="526"/>
      <c r="E64" s="526"/>
      <c r="F64" s="526"/>
      <c r="G64" s="250">
        <v>0</v>
      </c>
      <c r="H64" s="295"/>
      <c r="I64" s="258">
        <f>G64</f>
        <v>0</v>
      </c>
      <c r="J64" s="293"/>
      <c r="L64" s="295"/>
      <c r="N64" s="296"/>
      <c r="O64" s="276"/>
      <c r="P64" s="276"/>
      <c r="Q64" s="276"/>
      <c r="R64" s="276"/>
      <c r="S64" s="276"/>
      <c r="T64" s="276"/>
      <c r="U64" s="277"/>
    </row>
    <row r="65" spans="1:40" ht="15.95" customHeight="1" outlineLevel="1">
      <c r="A65" s="222">
        <v>5.8</v>
      </c>
      <c r="B65" s="526" t="s">
        <v>144</v>
      </c>
      <c r="C65" s="526"/>
      <c r="D65" s="526"/>
      <c r="E65" s="526"/>
      <c r="F65" s="526"/>
      <c r="G65" s="250">
        <v>0</v>
      </c>
      <c r="H65" s="295"/>
      <c r="J65" s="293"/>
      <c r="K65" s="258"/>
      <c r="L65" s="295"/>
      <c r="N65" s="296"/>
      <c r="O65" s="276"/>
      <c r="P65" s="276"/>
      <c r="Q65" s="276"/>
      <c r="R65" s="276"/>
      <c r="S65" s="276"/>
      <c r="T65" s="276"/>
      <c r="U65" s="277"/>
    </row>
    <row r="66" spans="1:40" ht="15.95" customHeight="1">
      <c r="B66" s="526" t="s">
        <v>193</v>
      </c>
      <c r="C66" s="526"/>
      <c r="D66" s="526"/>
      <c r="E66" s="526"/>
      <c r="F66" s="526"/>
      <c r="G66" s="258"/>
      <c r="H66" s="258"/>
      <c r="I66" s="250">
        <v>0</v>
      </c>
      <c r="J66" s="293"/>
      <c r="K66" s="258">
        <f>+I66</f>
        <v>0</v>
      </c>
      <c r="L66" s="295"/>
      <c r="N66" s="296"/>
      <c r="O66" s="276"/>
      <c r="P66" s="276"/>
      <c r="Q66" s="276"/>
      <c r="R66" s="276"/>
      <c r="S66" s="276"/>
      <c r="T66" s="276"/>
      <c r="U66" s="277"/>
      <c r="AJ66" s="297"/>
      <c r="AK66" s="298"/>
      <c r="AL66" s="298"/>
      <c r="AM66" s="298"/>
      <c r="AN66" s="298"/>
    </row>
    <row r="67" spans="1:40" ht="15.95" customHeight="1">
      <c r="A67" s="254" t="s">
        <v>132</v>
      </c>
      <c r="B67" s="526" t="s">
        <v>137</v>
      </c>
      <c r="C67" s="526"/>
      <c r="D67" s="526"/>
      <c r="E67" s="526"/>
      <c r="F67" s="526"/>
      <c r="G67" s="250">
        <v>0</v>
      </c>
      <c r="H67" s="295"/>
      <c r="J67" s="293"/>
      <c r="L67" s="295"/>
      <c r="O67" s="276"/>
      <c r="P67" s="276"/>
      <c r="Q67" s="276"/>
      <c r="R67" s="276"/>
      <c r="S67" s="276"/>
      <c r="T67" s="276"/>
      <c r="U67" s="277"/>
    </row>
    <row r="68" spans="1:40" ht="15.95" customHeight="1" outlineLevel="1">
      <c r="A68" s="222">
        <v>5.9</v>
      </c>
      <c r="B68" s="526" t="s">
        <v>138</v>
      </c>
      <c r="C68" s="526"/>
      <c r="D68" s="526"/>
      <c r="E68" s="526"/>
      <c r="F68" s="526"/>
      <c r="G68" s="250">
        <v>0</v>
      </c>
      <c r="H68" s="295"/>
      <c r="I68" s="250">
        <v>0</v>
      </c>
      <c r="J68" s="293"/>
      <c r="K68" s="250">
        <v>0</v>
      </c>
      <c r="L68" s="295"/>
      <c r="N68" s="296"/>
      <c r="O68" s="276"/>
      <c r="P68" s="276"/>
      <c r="Q68" s="276"/>
      <c r="R68" s="276"/>
      <c r="S68" s="276"/>
      <c r="T68" s="276"/>
      <c r="U68" s="277"/>
    </row>
    <row r="69" spans="1:40" ht="15.95" customHeight="1" outlineLevel="1">
      <c r="A69" s="256" t="s">
        <v>34</v>
      </c>
      <c r="B69" s="526" t="s">
        <v>139</v>
      </c>
      <c r="C69" s="526"/>
      <c r="D69" s="526"/>
      <c r="E69" s="526"/>
      <c r="F69" s="526"/>
      <c r="G69" s="250">
        <v>0</v>
      </c>
      <c r="H69" s="295"/>
      <c r="I69" s="110">
        <f t="shared" ref="I69" si="0">G69</f>
        <v>0</v>
      </c>
      <c r="J69" s="293"/>
      <c r="K69" s="250">
        <v>0</v>
      </c>
      <c r="L69" s="295"/>
      <c r="N69" s="296"/>
      <c r="O69" s="299"/>
      <c r="P69" s="276"/>
      <c r="Q69" s="276"/>
      <c r="R69" s="276"/>
      <c r="S69" s="276"/>
      <c r="T69" s="276"/>
      <c r="U69" s="277"/>
    </row>
    <row r="70" spans="1:40" ht="15.95" customHeight="1" outlineLevel="1">
      <c r="A70" s="222">
        <v>5.1100000000000003</v>
      </c>
      <c r="B70" s="526" t="s">
        <v>475</v>
      </c>
      <c r="C70" s="526"/>
      <c r="D70" s="526"/>
      <c r="E70" s="526"/>
      <c r="F70" s="526"/>
      <c r="G70" s="250">
        <v>0</v>
      </c>
      <c r="H70" s="295"/>
      <c r="K70" s="250">
        <v>0</v>
      </c>
      <c r="L70" s="151"/>
      <c r="N70" s="296"/>
      <c r="O70" s="299"/>
      <c r="P70" s="276"/>
      <c r="Q70" s="276"/>
      <c r="R70" s="276"/>
      <c r="S70" s="276"/>
      <c r="T70" s="276"/>
      <c r="U70" s="277"/>
    </row>
    <row r="71" spans="1:40" ht="15.95" customHeight="1" outlineLevel="1">
      <c r="A71" s="256">
        <v>5.12</v>
      </c>
      <c r="B71" s="526" t="s">
        <v>140</v>
      </c>
      <c r="C71" s="526"/>
      <c r="D71" s="526"/>
      <c r="E71" s="526"/>
      <c r="F71" s="526"/>
      <c r="G71" s="250">
        <v>0</v>
      </c>
      <c r="H71" s="295"/>
      <c r="I71" s="250">
        <v>0</v>
      </c>
      <c r="J71" s="293"/>
      <c r="K71" s="250">
        <v>0</v>
      </c>
      <c r="L71" s="295"/>
      <c r="N71" s="296"/>
      <c r="O71" s="276"/>
      <c r="P71" s="276"/>
      <c r="Q71" s="276"/>
      <c r="R71" s="276"/>
      <c r="S71" s="276"/>
      <c r="T71" s="276"/>
      <c r="U71" s="277"/>
    </row>
    <row r="72" spans="1:40" ht="15.95" customHeight="1" outlineLevel="1">
      <c r="A72" s="256">
        <v>5.13</v>
      </c>
      <c r="B72" s="526" t="s">
        <v>141</v>
      </c>
      <c r="C72" s="526"/>
      <c r="D72" s="526"/>
      <c r="E72" s="526"/>
      <c r="F72" s="526"/>
      <c r="G72" s="250">
        <v>0</v>
      </c>
      <c r="H72" s="295"/>
      <c r="I72" s="233"/>
      <c r="J72" s="233"/>
      <c r="K72" s="258"/>
      <c r="L72" s="295"/>
      <c r="M72" s="231"/>
      <c r="N72" s="296"/>
      <c r="O72" s="276"/>
      <c r="P72" s="276"/>
      <c r="Q72" s="276"/>
      <c r="R72" s="276"/>
      <c r="S72" s="276"/>
      <c r="T72" s="276"/>
      <c r="U72" s="277"/>
    </row>
    <row r="73" spans="1:40" ht="15.95" customHeight="1" outlineLevel="1">
      <c r="A73" s="256">
        <v>5.14</v>
      </c>
      <c r="B73" s="526" t="s">
        <v>143</v>
      </c>
      <c r="C73" s="526"/>
      <c r="D73" s="526"/>
      <c r="E73" s="526"/>
      <c r="F73" s="526"/>
      <c r="G73" s="278">
        <v>0</v>
      </c>
      <c r="H73" s="295"/>
      <c r="I73" s="278">
        <v>0</v>
      </c>
      <c r="J73" s="233"/>
      <c r="K73" s="233"/>
      <c r="L73" s="295"/>
      <c r="M73" s="231"/>
      <c r="N73" s="296"/>
      <c r="O73" s="276"/>
      <c r="P73" s="276"/>
      <c r="Q73" s="276"/>
      <c r="R73" s="276"/>
      <c r="S73" s="276"/>
      <c r="T73" s="276"/>
      <c r="U73" s="277"/>
    </row>
    <row r="74" spans="1:40" ht="15.95" customHeight="1">
      <c r="A74" s="256"/>
      <c r="B74" s="109" t="s">
        <v>2</v>
      </c>
      <c r="C74" s="224" t="s">
        <v>61</v>
      </c>
      <c r="G74" s="258">
        <f>+G73*0.01</f>
        <v>0</v>
      </c>
      <c r="H74" s="233"/>
      <c r="I74" s="258">
        <f>+I73*0.01</f>
        <v>0</v>
      </c>
      <c r="J74" s="233"/>
      <c r="K74" s="233"/>
      <c r="L74" s="233"/>
      <c r="M74" s="258"/>
      <c r="N74" s="296"/>
      <c r="O74" s="276"/>
      <c r="P74" s="276"/>
      <c r="Q74" s="276"/>
      <c r="R74" s="276"/>
      <c r="S74" s="276"/>
      <c r="T74" s="276"/>
      <c r="U74" s="277"/>
    </row>
    <row r="75" spans="1:40" ht="6" customHeight="1" outlineLevel="1">
      <c r="B75" s="248"/>
      <c r="C75" s="295"/>
      <c r="O75" s="276"/>
      <c r="P75" s="276"/>
      <c r="Q75" s="276"/>
      <c r="R75" s="276"/>
      <c r="S75" s="276"/>
      <c r="T75" s="276"/>
      <c r="U75" s="277"/>
    </row>
    <row r="76" spans="1:40" ht="15.95" customHeight="1" outlineLevel="1">
      <c r="A76" s="256" t="s">
        <v>154</v>
      </c>
      <c r="B76" s="224" t="s">
        <v>340</v>
      </c>
      <c r="G76" s="258">
        <f>+SUM(G58:G65, G68:G72) + (G67*0.05)</f>
        <v>0</v>
      </c>
      <c r="H76" s="224"/>
      <c r="I76" s="258">
        <f>SUM(I58:I71)</f>
        <v>0</v>
      </c>
      <c r="K76" s="258">
        <f>SUM(K58:K72)</f>
        <v>0</v>
      </c>
      <c r="O76" s="276"/>
      <c r="P76" s="276"/>
      <c r="Q76" s="276"/>
      <c r="R76" s="276"/>
      <c r="S76" s="276"/>
      <c r="T76" s="276"/>
      <c r="U76" s="277"/>
    </row>
    <row r="77" spans="1:40" ht="15.95" customHeight="1" outlineLevel="1">
      <c r="A77" s="256" t="s">
        <v>36</v>
      </c>
      <c r="B77" s="526" t="s">
        <v>24</v>
      </c>
      <c r="C77" s="526"/>
      <c r="D77" s="526"/>
      <c r="E77" s="526"/>
      <c r="F77" s="526"/>
      <c r="G77" s="153">
        <f>+G76/LN</f>
        <v>0</v>
      </c>
      <c r="H77" s="224"/>
      <c r="I77" s="224"/>
      <c r="M77" s="301"/>
      <c r="O77" s="276"/>
      <c r="P77" s="276"/>
      <c r="Q77" s="276"/>
      <c r="R77" s="276"/>
      <c r="S77" s="276"/>
      <c r="T77" s="276"/>
      <c r="U77" s="277"/>
      <c r="W77" s="234">
        <f>+IF(AND(LN&lt;&gt;1,G77&lt;=0.056),1,0)</f>
        <v>0</v>
      </c>
    </row>
    <row r="78" spans="1:40" ht="4.5" customHeight="1" outlineLevel="1">
      <c r="B78" s="248"/>
      <c r="C78" s="156"/>
      <c r="G78" s="224"/>
      <c r="H78" s="224"/>
      <c r="I78" s="224"/>
      <c r="O78" s="276"/>
      <c r="P78" s="276"/>
      <c r="Q78" s="276"/>
      <c r="R78" s="276"/>
      <c r="S78" s="276"/>
      <c r="T78" s="276"/>
      <c r="U78" s="277"/>
    </row>
    <row r="79" spans="1:40" ht="15.95" customHeight="1" outlineLevel="1">
      <c r="A79" s="222">
        <v>5.16</v>
      </c>
      <c r="B79" s="224" t="s">
        <v>339</v>
      </c>
      <c r="E79" s="295"/>
      <c r="G79" s="258">
        <f>+öAF_ohne_Bäume+G74</f>
        <v>0</v>
      </c>
      <c r="H79" s="224"/>
      <c r="I79" s="258">
        <f>+I76+I74</f>
        <v>0</v>
      </c>
      <c r="M79" s="301"/>
      <c r="O79" s="276"/>
      <c r="P79" s="276"/>
      <c r="Q79" s="276"/>
      <c r="R79" s="276"/>
      <c r="S79" s="276"/>
      <c r="T79" s="276"/>
      <c r="U79" s="277"/>
      <c r="W79" s="234">
        <f>+IF(AND(LN&lt;&gt;1,G76/LN&lt;0.072),1,0)</f>
        <v>0</v>
      </c>
    </row>
    <row r="80" spans="1:40" s="69" customFormat="1" ht="6" customHeight="1">
      <c r="A80" s="62"/>
      <c r="B80" s="64"/>
      <c r="E80" s="147"/>
      <c r="G80" s="110"/>
      <c r="H80" s="64"/>
      <c r="I80" s="64"/>
      <c r="L80" s="64"/>
      <c r="M80" s="155"/>
      <c r="N80" s="128"/>
      <c r="O80" s="125"/>
      <c r="P80" s="125"/>
      <c r="Q80" s="125"/>
      <c r="R80" s="125"/>
      <c r="S80" s="125"/>
      <c r="T80" s="125"/>
      <c r="U80" s="129"/>
      <c r="V80" s="50"/>
      <c r="W80" s="50"/>
      <c r="X80" s="51"/>
      <c r="Y80" s="52"/>
      <c r="Z80" s="51"/>
      <c r="AA80" s="52"/>
      <c r="AB80" s="51"/>
      <c r="AC80" s="52"/>
      <c r="AD80" s="51"/>
      <c r="AE80" s="52"/>
      <c r="AF80" s="51"/>
      <c r="AG80" s="52"/>
      <c r="AH80" s="51"/>
      <c r="AI80" s="52"/>
      <c r="AJ80" s="73"/>
      <c r="AK80" s="74"/>
      <c r="AL80" s="74"/>
      <c r="AM80" s="74"/>
      <c r="AN80" s="74"/>
    </row>
    <row r="81" spans="1:40" s="69" customFormat="1" ht="15.95" customHeight="1">
      <c r="A81" s="94"/>
      <c r="B81" s="110">
        <f>LN-Spezialkulturen</f>
        <v>1</v>
      </c>
      <c r="C81" s="64" t="s">
        <v>356</v>
      </c>
      <c r="E81" s="147"/>
      <c r="G81" s="110"/>
      <c r="H81" s="64"/>
      <c r="I81" s="64"/>
      <c r="L81" s="64"/>
      <c r="M81" s="155"/>
      <c r="N81" s="128"/>
      <c r="O81" s="125"/>
      <c r="P81" s="125"/>
      <c r="Q81" s="125"/>
      <c r="R81" s="125"/>
      <c r="S81" s="125"/>
      <c r="T81" s="125"/>
      <c r="U81" s="129"/>
      <c r="V81" s="50"/>
      <c r="W81" s="50"/>
      <c r="X81" s="51"/>
      <c r="Y81" s="52"/>
      <c r="Z81" s="51"/>
      <c r="AA81" s="52"/>
      <c r="AB81" s="51"/>
      <c r="AC81" s="52"/>
      <c r="AD81" s="51"/>
      <c r="AE81" s="52"/>
      <c r="AF81" s="51"/>
      <c r="AG81" s="52"/>
      <c r="AH81" s="51"/>
      <c r="AI81" s="52"/>
      <c r="AJ81" s="73"/>
      <c r="AK81" s="74"/>
      <c r="AL81" s="74"/>
      <c r="AM81" s="74"/>
      <c r="AN81" s="74"/>
    </row>
    <row r="82" spans="1:40" s="69" customFormat="1" ht="15.95" customHeight="1">
      <c r="A82" s="94"/>
      <c r="B82" s="110">
        <f>Spezialkulturen</f>
        <v>0</v>
      </c>
      <c r="C82" s="64" t="s">
        <v>357</v>
      </c>
      <c r="E82" s="147"/>
      <c r="G82" s="110"/>
      <c r="H82" s="64"/>
      <c r="I82" s="64"/>
      <c r="L82" s="64"/>
      <c r="M82" s="155"/>
      <c r="N82" s="128"/>
      <c r="O82" s="125"/>
      <c r="P82" s="125"/>
      <c r="Q82" s="125"/>
      <c r="R82" s="125"/>
      <c r="S82" s="125"/>
      <c r="T82" s="125"/>
      <c r="U82" s="129"/>
      <c r="V82" s="50"/>
      <c r="W82" s="50"/>
      <c r="X82" s="51"/>
      <c r="Y82" s="52"/>
      <c r="Z82" s="51"/>
      <c r="AA82" s="52"/>
      <c r="AB82" s="51"/>
      <c r="AC82" s="52"/>
      <c r="AD82" s="51"/>
      <c r="AE82" s="52"/>
      <c r="AF82" s="51"/>
      <c r="AG82" s="52"/>
      <c r="AH82" s="51"/>
      <c r="AI82" s="52"/>
      <c r="AJ82" s="73"/>
      <c r="AK82" s="74"/>
      <c r="AL82" s="74"/>
      <c r="AM82" s="74"/>
      <c r="AN82" s="74"/>
    </row>
    <row r="83" spans="1:40" s="69" customFormat="1" ht="15.95" customHeight="1">
      <c r="A83" s="62"/>
      <c r="B83" s="511" t="s">
        <v>201</v>
      </c>
      <c r="C83" s="511"/>
      <c r="D83" s="511"/>
      <c r="E83" s="511"/>
      <c r="F83" s="511"/>
      <c r="G83" s="153">
        <f>(Spezialkulturen*0.05 + (LN-Spezialkulturen)*0.09)/LN</f>
        <v>0.09</v>
      </c>
      <c r="H83" s="110"/>
      <c r="I83" s="110"/>
      <c r="L83" s="64"/>
      <c r="M83" s="155"/>
      <c r="N83" s="128"/>
      <c r="O83" s="125"/>
      <c r="P83" s="125"/>
      <c r="Q83" s="125"/>
      <c r="R83" s="125"/>
      <c r="S83" s="125"/>
      <c r="T83" s="125"/>
      <c r="U83" s="129"/>
      <c r="V83" s="50"/>
      <c r="W83" s="50"/>
      <c r="X83" s="51"/>
      <c r="Y83" s="52"/>
      <c r="Z83" s="51"/>
      <c r="AA83" s="52"/>
      <c r="AB83" s="51"/>
      <c r="AC83" s="52"/>
      <c r="AD83" s="51"/>
      <c r="AE83" s="52"/>
      <c r="AF83" s="51"/>
      <c r="AG83" s="52"/>
      <c r="AH83" s="51"/>
      <c r="AI83" s="52"/>
      <c r="AJ83" s="73"/>
      <c r="AK83" s="74"/>
      <c r="AL83" s="74"/>
      <c r="AM83" s="74"/>
      <c r="AN83" s="74"/>
    </row>
    <row r="84" spans="1:40" s="224" customFormat="1" ht="15.95" customHeight="1" outlineLevel="1">
      <c r="A84" s="222" t="s">
        <v>38</v>
      </c>
      <c r="B84" s="224" t="s">
        <v>24</v>
      </c>
      <c r="C84" s="266"/>
      <c r="D84" s="263"/>
      <c r="G84" s="300">
        <f>+G79/LN</f>
        <v>0</v>
      </c>
      <c r="I84" s="302"/>
      <c r="M84" s="303"/>
      <c r="N84" s="226"/>
      <c r="O84" s="276"/>
      <c r="P84" s="280"/>
      <c r="Q84" s="304"/>
      <c r="R84" s="276"/>
      <c r="S84" s="276"/>
      <c r="T84" s="276"/>
      <c r="U84" s="277"/>
      <c r="V84" s="282"/>
      <c r="W84" s="283"/>
      <c r="X84" s="305"/>
      <c r="Y84" s="253"/>
      <c r="Z84" s="305"/>
      <c r="AA84" s="253"/>
      <c r="AB84" s="305"/>
      <c r="AC84" s="253"/>
      <c r="AD84" s="305"/>
      <c r="AE84" s="253"/>
      <c r="AF84" s="305"/>
      <c r="AG84" s="253"/>
      <c r="AH84" s="252"/>
      <c r="AI84" s="253"/>
    </row>
    <row r="85" spans="1:40" s="224" customFormat="1" ht="15.95" customHeight="1" outlineLevel="1">
      <c r="A85" s="222" t="s">
        <v>338</v>
      </c>
      <c r="B85" s="224" t="str">
        <f>+IF(I27&gt;I28,"Betrieb BZ I - II","für Betriebe BZ I - II nicht relevant")</f>
        <v>für Betriebe BZ I - II nicht relevant</v>
      </c>
      <c r="I85" s="302"/>
      <c r="M85" s="333">
        <f>+IF(I27&gt;I28,IF(G84&gt;AH85,AI85,IF(G84&gt;AF85,AG85,IF(G84&gt;AD85,AE85,IF(G84&gt;AB85,AC85,IF(G84&gt;Z85,AA85,IF(G84&gt;=X85,Y85,0)))))),0)</f>
        <v>0</v>
      </c>
      <c r="N85" s="226"/>
      <c r="O85" s="276" t="str">
        <f>X85*100&amp;"–"&amp;Z85*100</f>
        <v>7–9</v>
      </c>
      <c r="P85" s="279" t="str">
        <f>+"&gt;"&amp;Z85*100&amp;"–"&amp;AB85*100</f>
        <v>&gt;9–12</v>
      </c>
      <c r="Q85" s="276" t="str">
        <f>+"&gt;"&amp;AB85*100&amp;"–"&amp;AD85*100</f>
        <v>&gt;12–15</v>
      </c>
      <c r="R85" s="276" t="str">
        <f>+"&gt;"&amp;AD85*100&amp;"–"&amp;AF85*100</f>
        <v>&gt;15–18</v>
      </c>
      <c r="S85" s="276" t="str">
        <f>+"&gt;"&amp;AF85*100&amp;"–"&amp;AH85*100</f>
        <v>&gt;18–21</v>
      </c>
      <c r="T85" s="276" t="str">
        <f>+"&gt;"&amp;AH85*100</f>
        <v>&gt;21</v>
      </c>
      <c r="U85" s="277" t="s">
        <v>41</v>
      </c>
      <c r="V85" s="282">
        <v>2</v>
      </c>
      <c r="W85" s="283"/>
      <c r="X85" s="305">
        <v>7.0000000000000007E-2</v>
      </c>
      <c r="Y85" s="253">
        <v>1</v>
      </c>
      <c r="Z85" s="305">
        <v>0.09</v>
      </c>
      <c r="AA85" s="253">
        <v>2</v>
      </c>
      <c r="AB85" s="305">
        <v>0.12</v>
      </c>
      <c r="AC85" s="253">
        <v>3</v>
      </c>
      <c r="AD85" s="305">
        <v>0.15</v>
      </c>
      <c r="AE85" s="253">
        <v>4</v>
      </c>
      <c r="AF85" s="305">
        <v>0.18</v>
      </c>
      <c r="AG85" s="253">
        <v>5</v>
      </c>
      <c r="AH85" s="305">
        <v>0.21</v>
      </c>
      <c r="AI85" s="253">
        <v>6</v>
      </c>
    </row>
    <row r="86" spans="1:40" s="224" customFormat="1" ht="15.95" customHeight="1" outlineLevel="1">
      <c r="A86" s="222" t="s">
        <v>337</v>
      </c>
      <c r="B86" s="224" t="str">
        <f>+IF(I28&gt;=I27,"Betrieb BZ III - IV","für Betriebe BZ III - IV nicht relevant")</f>
        <v>Betrieb BZ III - IV</v>
      </c>
      <c r="I86" s="302"/>
      <c r="M86" s="333">
        <f>+IF(I28&gt;I27,IF(G84&gt;AH86,AI86,IF(G84&gt;AF86,AG86,IF(G84&gt;AD86,AE86,IF(G84&gt;AB86,AC86,IF(G84&gt;Z86,AA86,IF(G84&gt;=X86,Y86,0)))))),0)</f>
        <v>0</v>
      </c>
      <c r="N86" s="226"/>
      <c r="O86" s="276" t="str">
        <f>X86*100&amp;"–"&amp;Z86*100</f>
        <v>12–15</v>
      </c>
      <c r="P86" s="279" t="str">
        <f>+"&gt;"&amp;Z86*100&amp;"–"&amp;AB86*100</f>
        <v>&gt;15–20</v>
      </c>
      <c r="Q86" s="276" t="str">
        <f>+"&gt;"&amp;AB86*100&amp;"–"&amp;AD86*100</f>
        <v>&gt;20–25</v>
      </c>
      <c r="R86" s="276" t="str">
        <f>+"&gt;"&amp;AD86*100&amp;"–"&amp;AF86*100</f>
        <v>&gt;25–30</v>
      </c>
      <c r="S86" s="276" t="str">
        <f>+"&gt;"&amp;AF86*100&amp;"–"&amp;AH86*100</f>
        <v>&gt;30–35</v>
      </c>
      <c r="T86" s="276" t="str">
        <f>+"&gt;"&amp;AH86*100</f>
        <v>&gt;35</v>
      </c>
      <c r="U86" s="277" t="s">
        <v>41</v>
      </c>
      <c r="V86" s="282"/>
      <c r="W86" s="283"/>
      <c r="X86" s="305">
        <v>0.12</v>
      </c>
      <c r="Y86" s="253">
        <v>1</v>
      </c>
      <c r="Z86" s="305">
        <v>0.15</v>
      </c>
      <c r="AA86" s="253">
        <v>2</v>
      </c>
      <c r="AB86" s="305">
        <v>0.2</v>
      </c>
      <c r="AC86" s="253">
        <v>3</v>
      </c>
      <c r="AD86" s="305">
        <v>0.25</v>
      </c>
      <c r="AE86" s="253">
        <v>4</v>
      </c>
      <c r="AF86" s="305">
        <v>0.3</v>
      </c>
      <c r="AG86" s="253">
        <v>5</v>
      </c>
      <c r="AH86" s="305">
        <v>0.35</v>
      </c>
      <c r="AI86" s="253">
        <v>6</v>
      </c>
    </row>
    <row r="87" spans="1:40" ht="15.95" customHeight="1">
      <c r="A87" s="306"/>
      <c r="B87" s="306"/>
      <c r="C87" s="156" t="str">
        <f>+IF(AND(G84&lt;G83,M1&lt;22), "Es müssen mindestens " &amp;G83*100 &amp;"% BFF auf der LN oder 22 Biodiversitätspunkte vorhanden sein, um die Labelbedingungen zu erfüllen!","")</f>
        <v>Es müssen mindestens 9% BFF auf der LN oder 22 Biodiversitätspunkte vorhanden sein, um die Labelbedingungen zu erfüllen!</v>
      </c>
      <c r="D87" s="306"/>
      <c r="E87" s="306"/>
      <c r="F87" s="306"/>
      <c r="G87" s="306"/>
      <c r="H87" s="306"/>
      <c r="I87" s="306"/>
      <c r="J87" s="306"/>
      <c r="K87" s="306"/>
      <c r="L87" s="306"/>
      <c r="M87" s="306"/>
      <c r="N87" s="306"/>
      <c r="O87" s="276"/>
      <c r="P87" s="276"/>
      <c r="Q87" s="276"/>
      <c r="R87" s="276"/>
      <c r="S87" s="276"/>
      <c r="T87" s="276"/>
      <c r="U87" s="277"/>
    </row>
    <row r="88" spans="1:40" hidden="1">
      <c r="A88" s="222">
        <v>5.17</v>
      </c>
      <c r="B88" s="526" t="s">
        <v>161</v>
      </c>
      <c r="C88" s="526"/>
      <c r="D88" s="526"/>
      <c r="E88" s="526"/>
      <c r="F88" s="526"/>
      <c r="G88" s="258">
        <f>+G63+G64+G65+G67+G68 + IF(offene_Ackerfläche&gt;=3,MIN(Ackerfläche*0.0175,G74),0)</f>
        <v>0</v>
      </c>
      <c r="H88" s="224"/>
      <c r="I88" s="258"/>
      <c r="L88" s="224"/>
      <c r="M88" s="308"/>
      <c r="N88" s="291"/>
      <c r="O88" s="276"/>
      <c r="P88" s="276"/>
      <c r="Q88" s="276"/>
      <c r="R88" s="276"/>
      <c r="S88" s="276"/>
      <c r="T88" s="276"/>
      <c r="U88" s="277"/>
    </row>
    <row r="89" spans="1:40" hidden="1">
      <c r="A89" s="256" t="s">
        <v>96</v>
      </c>
      <c r="B89" s="224" t="s">
        <v>35</v>
      </c>
      <c r="G89" s="302">
        <f>+IF(Ackerfläche&gt;0,G88/Ackerfläche,0)</f>
        <v>0</v>
      </c>
      <c r="H89" s="224"/>
      <c r="I89" s="302"/>
      <c r="L89" s="224"/>
      <c r="M89" s="309"/>
      <c r="N89" s="291"/>
      <c r="O89" s="276"/>
      <c r="P89" s="276"/>
      <c r="Q89" s="276"/>
      <c r="R89" s="276"/>
      <c r="S89" s="276"/>
      <c r="T89" s="276"/>
      <c r="U89" s="277"/>
      <c r="W89" s="234">
        <f>+IF(Ackerfläche&lt;=3,0,IF(G89&gt;=0.03,0,1))</f>
        <v>0</v>
      </c>
    </row>
    <row r="90" spans="1:40" ht="6" customHeight="1">
      <c r="A90" s="535"/>
      <c r="B90" s="535"/>
      <c r="C90" s="535"/>
      <c r="D90" s="535"/>
      <c r="E90" s="535"/>
      <c r="F90" s="535"/>
      <c r="G90" s="535"/>
      <c r="H90" s="535"/>
      <c r="I90" s="535"/>
      <c r="J90" s="535"/>
      <c r="K90" s="535"/>
      <c r="L90" s="535"/>
      <c r="M90" s="535"/>
      <c r="N90" s="535"/>
      <c r="O90" s="276"/>
      <c r="P90" s="276"/>
      <c r="Q90" s="276"/>
      <c r="R90" s="276"/>
      <c r="S90" s="276"/>
      <c r="T90" s="276"/>
      <c r="U90" s="277"/>
    </row>
    <row r="91" spans="1:40" s="224" customFormat="1" ht="15.95" customHeight="1">
      <c r="A91" s="222" t="s">
        <v>157</v>
      </c>
      <c r="B91" s="526" t="s">
        <v>158</v>
      </c>
      <c r="C91" s="526"/>
      <c r="D91" s="526"/>
      <c r="E91" s="526"/>
      <c r="F91" s="526"/>
      <c r="G91" s="302"/>
      <c r="I91" s="258">
        <f>+G61+G62+G63+G64+I66</f>
        <v>0</v>
      </c>
      <c r="M91" s="309"/>
      <c r="O91" s="276"/>
      <c r="P91" s="276"/>
      <c r="Q91" s="276"/>
      <c r="R91" s="276"/>
      <c r="S91" s="276"/>
      <c r="T91" s="276"/>
      <c r="U91" s="277"/>
      <c r="V91" s="252"/>
      <c r="W91" s="234"/>
      <c r="X91" s="252"/>
      <c r="Y91" s="253"/>
      <c r="Z91" s="252"/>
      <c r="AA91" s="253"/>
      <c r="AB91" s="252"/>
      <c r="AC91" s="253"/>
      <c r="AD91" s="252"/>
      <c r="AE91" s="253"/>
      <c r="AF91" s="252"/>
      <c r="AG91" s="253"/>
      <c r="AH91" s="252"/>
      <c r="AI91" s="253"/>
    </row>
    <row r="92" spans="1:40" s="224" customFormat="1" ht="15.95" customHeight="1">
      <c r="A92" s="222" t="s">
        <v>159</v>
      </c>
      <c r="B92" s="224" t="s">
        <v>35</v>
      </c>
      <c r="C92" s="231"/>
      <c r="D92" s="231"/>
      <c r="E92" s="231"/>
      <c r="F92" s="231"/>
      <c r="G92" s="302"/>
      <c r="I92" s="300">
        <f>+IF(Ackerfläche&gt;0,I91/Ackerfläche,0)</f>
        <v>0</v>
      </c>
      <c r="M92" s="309"/>
      <c r="O92" s="276"/>
      <c r="P92" s="276"/>
      <c r="Q92" s="276"/>
      <c r="R92" s="276"/>
      <c r="S92" s="276"/>
      <c r="T92" s="276"/>
      <c r="U92" s="277"/>
      <c r="V92" s="252"/>
      <c r="W92" s="234"/>
      <c r="X92" s="252"/>
      <c r="Y92" s="253"/>
      <c r="Z92" s="252"/>
      <c r="AA92" s="253"/>
      <c r="AB92" s="252"/>
      <c r="AC92" s="253"/>
      <c r="AD92" s="252"/>
      <c r="AE92" s="253"/>
      <c r="AF92" s="252"/>
      <c r="AG92" s="253"/>
      <c r="AH92" s="252"/>
      <c r="AI92" s="253"/>
    </row>
    <row r="93" spans="1:40" ht="5.45" customHeight="1" outlineLevel="1">
      <c r="B93" s="248"/>
      <c r="C93" s="295"/>
      <c r="G93" s="224"/>
      <c r="H93" s="224"/>
      <c r="I93" s="224"/>
      <c r="O93" s="276"/>
      <c r="P93" s="276"/>
      <c r="Q93" s="276"/>
      <c r="R93" s="276"/>
      <c r="S93" s="276"/>
      <c r="T93" s="276"/>
      <c r="U93" s="277"/>
    </row>
    <row r="94" spans="1:40" s="224" customFormat="1" ht="15.95" customHeight="1" outlineLevel="1">
      <c r="A94" s="256">
        <v>5.18</v>
      </c>
      <c r="B94" s="224" t="s">
        <v>336</v>
      </c>
      <c r="C94" s="231"/>
      <c r="D94" s="231"/>
      <c r="E94" s="231"/>
      <c r="F94" s="231"/>
      <c r="G94" s="258">
        <f>G58+G59+G60+G68+G69+G70</f>
        <v>0</v>
      </c>
      <c r="I94" s="258">
        <f>+SUM(I58:K60)+SUM(I68:K69)</f>
        <v>0</v>
      </c>
      <c r="M94" s="226"/>
      <c r="N94" s="226"/>
      <c r="O94" s="276"/>
      <c r="P94" s="276"/>
      <c r="Q94" s="276"/>
      <c r="R94" s="276"/>
      <c r="S94" s="276"/>
      <c r="T94" s="276"/>
      <c r="U94" s="277"/>
      <c r="V94" s="252"/>
      <c r="W94" s="234"/>
      <c r="X94" s="252"/>
      <c r="Y94" s="253"/>
      <c r="Z94" s="252"/>
      <c r="AA94" s="253"/>
      <c r="AB94" s="252"/>
      <c r="AC94" s="253"/>
      <c r="AD94" s="252"/>
      <c r="AE94" s="253"/>
      <c r="AF94" s="252"/>
      <c r="AG94" s="253"/>
      <c r="AH94" s="252"/>
      <c r="AI94" s="253"/>
    </row>
    <row r="95" spans="1:40" s="224" customFormat="1" ht="15.95" customHeight="1" outlineLevel="1">
      <c r="A95" s="222" t="s">
        <v>155</v>
      </c>
      <c r="B95" s="224" t="s">
        <v>37</v>
      </c>
      <c r="C95" s="231"/>
      <c r="D95" s="231"/>
      <c r="E95" s="231"/>
      <c r="F95" s="231"/>
      <c r="G95" s="300">
        <f>+IF(DGL_Streue&gt;0,G94/DGL_Streue,0)</f>
        <v>0</v>
      </c>
      <c r="I95" s="300">
        <f>+IF(DGL_Streue&gt;0,I94/DGL_Streue,0)</f>
        <v>0</v>
      </c>
      <c r="M95" s="303"/>
      <c r="N95" s="226"/>
      <c r="O95" s="276"/>
      <c r="P95" s="276"/>
      <c r="Q95" s="276"/>
      <c r="R95" s="276"/>
      <c r="S95" s="276"/>
      <c r="T95" s="276"/>
      <c r="U95" s="277"/>
      <c r="V95" s="252"/>
      <c r="W95" s="234">
        <f>+IF(DGL&lt;=3,0,IF(G95&gt;=0.09,,1))</f>
        <v>0</v>
      </c>
      <c r="X95" s="252"/>
      <c r="Y95" s="253"/>
      <c r="Z95" s="252"/>
      <c r="AA95" s="253"/>
      <c r="AB95" s="252"/>
      <c r="AC95" s="253"/>
      <c r="AD95" s="252"/>
      <c r="AE95" s="253"/>
      <c r="AF95" s="252"/>
      <c r="AG95" s="253"/>
      <c r="AH95" s="252"/>
      <c r="AI95" s="253"/>
    </row>
    <row r="96" spans="1:40" ht="6" customHeight="1" outlineLevel="1">
      <c r="B96" s="248"/>
      <c r="C96" s="295"/>
      <c r="G96" s="224"/>
      <c r="H96" s="224"/>
      <c r="I96" s="224"/>
      <c r="O96" s="276"/>
      <c r="P96" s="276"/>
      <c r="Q96" s="276"/>
      <c r="R96" s="276"/>
      <c r="S96" s="276"/>
      <c r="T96" s="276"/>
      <c r="U96" s="277"/>
    </row>
    <row r="97" spans="1:36" s="224" customFormat="1" ht="15.95" customHeight="1" outlineLevel="1">
      <c r="A97" s="256">
        <v>5.19</v>
      </c>
      <c r="B97" s="224" t="s">
        <v>194</v>
      </c>
      <c r="C97" s="231"/>
      <c r="D97" s="231"/>
      <c r="E97" s="231"/>
      <c r="F97" s="231"/>
      <c r="G97" s="302"/>
      <c r="I97" s="260">
        <f>I79</f>
        <v>0</v>
      </c>
      <c r="K97" s="307"/>
      <c r="M97" s="303"/>
      <c r="N97" s="226"/>
      <c r="O97" s="276"/>
      <c r="P97" s="276"/>
      <c r="Q97" s="276"/>
      <c r="R97" s="276"/>
      <c r="S97" s="276"/>
      <c r="T97" s="276"/>
      <c r="U97" s="277"/>
      <c r="V97" s="252"/>
      <c r="W97" s="234"/>
      <c r="X97" s="252"/>
      <c r="Y97" s="253"/>
      <c r="Z97" s="252"/>
      <c r="AA97" s="253"/>
      <c r="AB97" s="252"/>
      <c r="AC97" s="253"/>
      <c r="AD97" s="252"/>
      <c r="AE97" s="253"/>
      <c r="AF97" s="252"/>
      <c r="AG97" s="253"/>
      <c r="AH97" s="252"/>
      <c r="AI97" s="253"/>
    </row>
    <row r="98" spans="1:36" s="224" customFormat="1" ht="15.95" customHeight="1" outlineLevel="1">
      <c r="A98" s="222" t="s">
        <v>156</v>
      </c>
      <c r="B98" s="224" t="s">
        <v>24</v>
      </c>
      <c r="C98" s="109"/>
      <c r="I98" s="300">
        <f>+I97/LN</f>
        <v>0</v>
      </c>
      <c r="M98" s="163">
        <f>+IF(I98&lt;X98,0,IF(I98&gt;AH98,AI98,1+(100*I98-2)))</f>
        <v>0</v>
      </c>
      <c r="N98" s="64"/>
      <c r="O98" s="125"/>
      <c r="P98" s="144">
        <v>2</v>
      </c>
      <c r="Q98" s="157"/>
      <c r="R98" s="125" t="s">
        <v>198</v>
      </c>
      <c r="S98" s="125"/>
      <c r="T98" s="125" t="str">
        <f>+"&gt;"&amp;AH98*100</f>
        <v>&gt;7</v>
      </c>
      <c r="U98" s="129" t="s">
        <v>41</v>
      </c>
      <c r="V98" s="135"/>
      <c r="W98" s="136"/>
      <c r="X98" s="158">
        <v>0.02</v>
      </c>
      <c r="Y98" s="92">
        <v>1</v>
      </c>
      <c r="Z98" s="158"/>
      <c r="AA98" s="92" t="s">
        <v>199</v>
      </c>
      <c r="AB98" s="158"/>
      <c r="AC98" s="92"/>
      <c r="AD98" s="158"/>
      <c r="AE98" s="92"/>
      <c r="AF98" s="158"/>
      <c r="AG98" s="92"/>
      <c r="AH98" s="158">
        <v>7.0000000000000007E-2</v>
      </c>
      <c r="AI98" s="92">
        <v>6</v>
      </c>
      <c r="AJ98" s="6"/>
    </row>
    <row r="99" spans="1:36" ht="6" customHeight="1" outlineLevel="1">
      <c r="A99" s="231"/>
      <c r="B99" s="248"/>
      <c r="C99" s="295"/>
      <c r="G99" s="224"/>
      <c r="H99" s="224"/>
      <c r="I99" s="224"/>
      <c r="O99" s="276"/>
      <c r="P99" s="276"/>
      <c r="Q99" s="276"/>
      <c r="R99" s="276"/>
      <c r="S99" s="276"/>
      <c r="T99" s="276"/>
      <c r="U99" s="277"/>
    </row>
    <row r="100" spans="1:36" s="224" customFormat="1" ht="15.95" customHeight="1" outlineLevel="1">
      <c r="A100" s="222">
        <v>6.1</v>
      </c>
      <c r="B100" s="192">
        <v>0</v>
      </c>
      <c r="C100" s="224" t="s">
        <v>120</v>
      </c>
      <c r="G100" s="300">
        <f>+IF(B26&gt;0,B100/B26,0)</f>
        <v>0</v>
      </c>
      <c r="H100" s="224" t="s">
        <v>335</v>
      </c>
      <c r="M100" s="303"/>
      <c r="N100" s="226"/>
      <c r="O100" s="276"/>
      <c r="P100" s="280"/>
      <c r="Q100" s="304"/>
      <c r="R100" s="276"/>
      <c r="S100" s="276"/>
      <c r="T100" s="276"/>
      <c r="U100" s="277"/>
      <c r="V100" s="282"/>
      <c r="W100" s="234">
        <f>+IF(AND(B26&gt;3,B26&lt;10,G100&lt;0.03),1,0)+IF(AND(B26&gt;10,G100&lt;0.06),1,0)</f>
        <v>0</v>
      </c>
      <c r="X100" s="305"/>
      <c r="Y100" s="253"/>
      <c r="Z100" s="305"/>
      <c r="AA100" s="253"/>
      <c r="AB100" s="305"/>
      <c r="AC100" s="253"/>
      <c r="AD100" s="305"/>
      <c r="AE100" s="253"/>
      <c r="AF100" s="305"/>
      <c r="AG100" s="253"/>
      <c r="AH100" s="252"/>
      <c r="AI100" s="253"/>
    </row>
    <row r="101" spans="1:36" s="224" customFormat="1" ht="15.95" customHeight="1" outlineLevel="1">
      <c r="A101" s="256" t="s">
        <v>57</v>
      </c>
      <c r="B101" s="192">
        <v>0</v>
      </c>
      <c r="C101" s="526" t="s">
        <v>177</v>
      </c>
      <c r="D101" s="526"/>
      <c r="E101" s="526"/>
      <c r="G101" s="300">
        <f>+IF(B27&gt;0,B101/B27,0)</f>
        <v>0</v>
      </c>
      <c r="H101" s="224" t="s">
        <v>334</v>
      </c>
      <c r="M101" s="310"/>
      <c r="N101" s="226"/>
      <c r="O101" s="276"/>
      <c r="P101" s="280"/>
      <c r="Q101" s="304"/>
      <c r="R101" s="276"/>
      <c r="S101" s="276"/>
      <c r="T101" s="276"/>
      <c r="U101" s="277"/>
      <c r="V101" s="282"/>
      <c r="W101" s="234">
        <f>+IF(AND(B27&gt;3,B27&lt;10,G101&lt;0.03),1,0)+IF(AND(B27&gt;10,G101&lt;0.06),1,0)</f>
        <v>0</v>
      </c>
      <c r="X101" s="305"/>
      <c r="Y101" s="253"/>
      <c r="Z101" s="305"/>
      <c r="AA101" s="253"/>
      <c r="AB101" s="305"/>
      <c r="AC101" s="253"/>
      <c r="AD101" s="305"/>
      <c r="AE101" s="253"/>
      <c r="AF101" s="305"/>
      <c r="AG101" s="253"/>
      <c r="AH101" s="252"/>
      <c r="AI101" s="253"/>
    </row>
    <row r="102" spans="1:36" s="224" customFormat="1" ht="15.95" customHeight="1" outlineLevel="1">
      <c r="A102" s="256" t="s">
        <v>58</v>
      </c>
      <c r="B102" s="192">
        <v>0</v>
      </c>
      <c r="C102" s="526" t="s">
        <v>178</v>
      </c>
      <c r="D102" s="526"/>
      <c r="E102" s="526"/>
      <c r="G102" s="300">
        <f>+IF(B28&gt;0,B102/B28,0)</f>
        <v>0</v>
      </c>
      <c r="H102" s="224" t="s">
        <v>333</v>
      </c>
      <c r="M102" s="303"/>
      <c r="N102" s="226"/>
      <c r="O102" s="276"/>
      <c r="P102" s="280"/>
      <c r="Q102" s="304"/>
      <c r="R102" s="276"/>
      <c r="S102" s="276"/>
      <c r="T102" s="276"/>
      <c r="U102" s="277"/>
      <c r="V102" s="282"/>
      <c r="W102" s="234"/>
      <c r="X102" s="305"/>
      <c r="Y102" s="253"/>
      <c r="Z102" s="305"/>
      <c r="AA102" s="253"/>
      <c r="AB102" s="305"/>
      <c r="AC102" s="253"/>
      <c r="AD102" s="305"/>
      <c r="AE102" s="253"/>
      <c r="AF102" s="305"/>
      <c r="AG102" s="253"/>
      <c r="AH102" s="252"/>
      <c r="AI102" s="253"/>
    </row>
    <row r="103" spans="1:36" s="224" customFormat="1" ht="6" customHeight="1" outlineLevel="1">
      <c r="B103" s="311">
        <f>+ROUND(G79-SUM(B100:B102),2)</f>
        <v>0</v>
      </c>
      <c r="C103" s="266" t="str">
        <f>+IF(OR(LN=1,B103=0),"","Flächenbilanz geht nicht auf! Differenz "&amp;B103&amp;" ha")</f>
        <v/>
      </c>
      <c r="D103" s="263"/>
      <c r="I103" s="302"/>
      <c r="M103" s="303"/>
      <c r="N103" s="226"/>
      <c r="O103" s="276"/>
      <c r="P103" s="280"/>
      <c r="Q103" s="304"/>
      <c r="R103" s="276"/>
      <c r="S103" s="276"/>
      <c r="T103" s="276"/>
      <c r="U103" s="277"/>
      <c r="V103" s="282"/>
      <c r="W103" s="283"/>
      <c r="X103" s="305"/>
      <c r="Y103" s="253"/>
      <c r="Z103" s="305"/>
      <c r="AA103" s="253"/>
      <c r="AB103" s="305"/>
      <c r="AC103" s="253"/>
      <c r="AD103" s="305"/>
      <c r="AE103" s="253"/>
      <c r="AF103" s="305"/>
      <c r="AG103" s="253"/>
      <c r="AH103" s="252"/>
      <c r="AI103" s="253"/>
    </row>
    <row r="104" spans="1:36" s="232" customFormat="1" ht="15.95" customHeight="1" outlineLevel="1">
      <c r="A104" s="222">
        <v>7</v>
      </c>
      <c r="B104" s="534" t="s">
        <v>332</v>
      </c>
      <c r="C104" s="534"/>
      <c r="D104" s="534"/>
      <c r="E104" s="534"/>
      <c r="M104" s="312"/>
      <c r="N104" s="312"/>
      <c r="O104" s="276"/>
      <c r="P104" s="276"/>
      <c r="Q104" s="276"/>
      <c r="R104" s="276"/>
      <c r="S104" s="276"/>
      <c r="T104" s="276"/>
      <c r="U104" s="277"/>
      <c r="V104" s="313"/>
      <c r="W104" s="313"/>
      <c r="X104" s="314"/>
      <c r="Y104" s="315"/>
      <c r="Z104" s="314"/>
      <c r="AA104" s="315"/>
      <c r="AB104" s="314"/>
      <c r="AC104" s="315"/>
      <c r="AD104" s="314"/>
      <c r="AE104" s="315"/>
      <c r="AF104" s="314"/>
      <c r="AG104" s="315"/>
      <c r="AH104" s="314"/>
      <c r="AI104" s="315"/>
    </row>
    <row r="105" spans="1:36" ht="15.95" customHeight="1" outlineLevel="1">
      <c r="A105" s="222">
        <v>7.1</v>
      </c>
      <c r="B105" s="316">
        <v>0</v>
      </c>
      <c r="C105" s="224" t="s">
        <v>331</v>
      </c>
      <c r="O105" s="276"/>
      <c r="P105" s="276"/>
      <c r="Q105" s="276"/>
      <c r="R105" s="276"/>
      <c r="S105" s="276"/>
      <c r="T105" s="276"/>
      <c r="U105" s="277"/>
    </row>
    <row r="106" spans="1:36" ht="15.95" customHeight="1" outlineLevel="1">
      <c r="B106" s="109" t="s">
        <v>2</v>
      </c>
      <c r="C106" s="260">
        <f>+B105/LN*20</f>
        <v>0</v>
      </c>
      <c r="D106" s="224" t="s">
        <v>330</v>
      </c>
      <c r="F106" s="224"/>
      <c r="G106" s="224"/>
      <c r="H106" s="224"/>
      <c r="M106" s="486">
        <f>+IF(C106&gt;AH106,AI106,IF(C106&gt;AF106,AG106,IF(C106&gt;AD106,AE106,IF(C106&gt;AB106,AC106,IF(C106&gt;Z106,AA106,IF(C106&gt;=X106,Y106,0))))))</f>
        <v>0</v>
      </c>
      <c r="N106" s="5"/>
      <c r="O106" s="11" t="str">
        <f>+X106&amp;"-"&amp;Z106</f>
        <v>1-2</v>
      </c>
      <c r="P106" s="9" t="str">
        <f>+"&gt;"&amp;Z106&amp;"-"&amp;AB106</f>
        <v>&gt;2-3</v>
      </c>
      <c r="Q106" s="12" t="str">
        <f>+"&gt;"&amp;AB106&amp;"-"&amp;AD106</f>
        <v>&gt;3-4</v>
      </c>
      <c r="R106" s="9" t="str">
        <f>+"&gt;"&amp;AD106&amp;"-"&amp;AF106</f>
        <v>&gt;4-5</v>
      </c>
      <c r="S106" s="9" t="str">
        <f>+"&gt;"&amp;AF106&amp;"-"&amp;AH106</f>
        <v>&gt;5-6</v>
      </c>
      <c r="T106" s="9" t="str">
        <f>+"&gt;"&amp;AH106</f>
        <v>&gt;6</v>
      </c>
      <c r="U106" s="10"/>
      <c r="V106" s="13">
        <v>3</v>
      </c>
      <c r="W106" s="4"/>
      <c r="X106" s="3">
        <v>1</v>
      </c>
      <c r="Y106" s="2">
        <v>1</v>
      </c>
      <c r="Z106" s="3">
        <v>2</v>
      </c>
      <c r="AA106" s="2">
        <v>2</v>
      </c>
      <c r="AB106" s="3">
        <v>3</v>
      </c>
      <c r="AC106" s="2">
        <v>3</v>
      </c>
      <c r="AD106" s="3">
        <v>4</v>
      </c>
      <c r="AE106" s="2">
        <v>4</v>
      </c>
      <c r="AF106" s="3">
        <v>5</v>
      </c>
      <c r="AG106" s="7">
        <v>5</v>
      </c>
      <c r="AH106" s="8">
        <v>6</v>
      </c>
      <c r="AI106" s="2">
        <v>6</v>
      </c>
      <c r="AJ106" s="6"/>
    </row>
    <row r="107" spans="1:36" hidden="1" outlineLevel="1">
      <c r="B107" s="224" t="s">
        <v>402</v>
      </c>
      <c r="C107" s="317"/>
      <c r="D107" s="224"/>
      <c r="F107" s="224"/>
      <c r="G107" s="224"/>
      <c r="H107" s="224"/>
      <c r="M107" s="163"/>
      <c r="N107" s="64"/>
      <c r="O107" s="125"/>
      <c r="P107" s="144"/>
      <c r="Q107" s="157"/>
      <c r="R107" s="125"/>
      <c r="S107" s="125"/>
      <c r="T107" s="125"/>
      <c r="U107" s="129"/>
      <c r="V107" s="135"/>
      <c r="W107" s="136"/>
      <c r="X107" s="158"/>
      <c r="Y107" s="92"/>
      <c r="Z107" s="158"/>
      <c r="AA107" s="92"/>
      <c r="AB107" s="158"/>
      <c r="AC107" s="92"/>
      <c r="AD107" s="158"/>
      <c r="AE107" s="92"/>
      <c r="AF107" s="158"/>
      <c r="AG107" s="92"/>
      <c r="AH107" s="158"/>
      <c r="AI107" s="92"/>
    </row>
    <row r="108" spans="1:36" ht="3" hidden="1" customHeight="1" outlineLevel="1">
      <c r="B108" s="109"/>
      <c r="C108" s="317"/>
      <c r="D108" s="224"/>
      <c r="F108" s="224"/>
      <c r="G108" s="224"/>
      <c r="H108" s="224"/>
      <c r="M108" s="163"/>
      <c r="N108" s="64"/>
      <c r="O108" s="125"/>
      <c r="P108" s="144"/>
      <c r="Q108" s="157"/>
      <c r="R108" s="125"/>
      <c r="S108" s="125"/>
      <c r="T108" s="125"/>
      <c r="U108" s="129"/>
      <c r="V108" s="135"/>
      <c r="W108" s="136"/>
      <c r="X108" s="158"/>
      <c r="Y108" s="92"/>
      <c r="Z108" s="158"/>
      <c r="AA108" s="92"/>
      <c r="AB108" s="158"/>
      <c r="AC108" s="92"/>
      <c r="AD108" s="158"/>
      <c r="AE108" s="92"/>
      <c r="AF108" s="158"/>
      <c r="AG108" s="92"/>
      <c r="AH108" s="158"/>
      <c r="AI108" s="92"/>
    </row>
    <row r="109" spans="1:36" ht="3" hidden="1" customHeight="1" outlineLevel="1">
      <c r="B109" s="109"/>
      <c r="C109" s="317"/>
      <c r="D109" s="224"/>
      <c r="F109" s="224"/>
      <c r="G109" s="224"/>
      <c r="H109" s="224"/>
      <c r="M109" s="163"/>
      <c r="N109" s="64"/>
      <c r="O109" s="125"/>
      <c r="P109" s="144"/>
      <c r="Q109" s="157"/>
      <c r="R109" s="125"/>
      <c r="S109" s="125"/>
      <c r="T109" s="125"/>
      <c r="U109" s="129"/>
      <c r="V109" s="135"/>
      <c r="W109" s="136"/>
      <c r="X109" s="158"/>
      <c r="Y109" s="92"/>
      <c r="Z109" s="158"/>
      <c r="AA109" s="92"/>
      <c r="AB109" s="158"/>
      <c r="AC109" s="92"/>
      <c r="AD109" s="158"/>
      <c r="AE109" s="92"/>
      <c r="AF109" s="158"/>
      <c r="AG109" s="92"/>
      <c r="AH109" s="158"/>
      <c r="AI109" s="92"/>
    </row>
    <row r="110" spans="1:36" ht="3" hidden="1" customHeight="1" outlineLevel="1">
      <c r="B110" s="109"/>
      <c r="C110" s="317"/>
      <c r="D110" s="224"/>
      <c r="F110" s="224"/>
      <c r="G110" s="224"/>
      <c r="H110" s="224"/>
      <c r="M110" s="163"/>
      <c r="N110" s="64"/>
      <c r="O110" s="125"/>
      <c r="P110" s="144"/>
      <c r="Q110" s="157"/>
      <c r="R110" s="125"/>
      <c r="S110" s="125"/>
      <c r="T110" s="125"/>
      <c r="U110" s="129"/>
      <c r="V110" s="135"/>
      <c r="W110" s="136"/>
      <c r="X110" s="158"/>
      <c r="Y110" s="92"/>
      <c r="Z110" s="158"/>
      <c r="AA110" s="92"/>
      <c r="AB110" s="158"/>
      <c r="AC110" s="92"/>
      <c r="AD110" s="158"/>
      <c r="AE110" s="92"/>
      <c r="AF110" s="158"/>
      <c r="AG110" s="92"/>
      <c r="AH110" s="158"/>
      <c r="AI110" s="92"/>
    </row>
    <row r="111" spans="1:36" ht="3" hidden="1" customHeight="1" outlineLevel="1">
      <c r="B111" s="109"/>
      <c r="C111" s="317"/>
      <c r="D111" s="224"/>
      <c r="F111" s="224"/>
      <c r="G111" s="224"/>
      <c r="H111" s="224"/>
      <c r="M111" s="163"/>
      <c r="N111" s="64"/>
      <c r="O111" s="125"/>
      <c r="P111" s="144"/>
      <c r="Q111" s="157"/>
      <c r="R111" s="125"/>
      <c r="S111" s="125"/>
      <c r="T111" s="125"/>
      <c r="U111" s="129"/>
      <c r="V111" s="135"/>
      <c r="W111" s="136"/>
      <c r="X111" s="158"/>
      <c r="Y111" s="92"/>
      <c r="Z111" s="158"/>
      <c r="AA111" s="92"/>
      <c r="AB111" s="158"/>
      <c r="AC111" s="92"/>
      <c r="AD111" s="158"/>
      <c r="AE111" s="92"/>
      <c r="AF111" s="158"/>
      <c r="AG111" s="92"/>
      <c r="AH111" s="158"/>
      <c r="AI111" s="92"/>
    </row>
    <row r="112" spans="1:36" ht="3" hidden="1" customHeight="1" outlineLevel="1">
      <c r="B112" s="109"/>
      <c r="C112" s="317"/>
      <c r="D112" s="224"/>
      <c r="F112" s="224"/>
      <c r="G112" s="224"/>
      <c r="H112" s="224"/>
      <c r="M112" s="163"/>
      <c r="N112" s="64"/>
      <c r="O112" s="125"/>
      <c r="P112" s="144"/>
      <c r="Q112" s="157"/>
      <c r="R112" s="125"/>
      <c r="S112" s="125"/>
      <c r="T112" s="125"/>
      <c r="U112" s="129"/>
      <c r="V112" s="135"/>
      <c r="W112" s="136"/>
      <c r="X112" s="158"/>
      <c r="Y112" s="92"/>
      <c r="Z112" s="158"/>
      <c r="AA112" s="92"/>
      <c r="AB112" s="158"/>
      <c r="AC112" s="92"/>
      <c r="AD112" s="158"/>
      <c r="AE112" s="92"/>
      <c r="AF112" s="158"/>
      <c r="AG112" s="92"/>
      <c r="AH112" s="158"/>
      <c r="AI112" s="92"/>
    </row>
    <row r="113" spans="1:79" ht="6" customHeight="1">
      <c r="O113" s="276"/>
      <c r="P113" s="276"/>
      <c r="Q113" s="276"/>
      <c r="R113" s="276"/>
      <c r="S113" s="276"/>
      <c r="T113" s="276"/>
      <c r="U113" s="277"/>
    </row>
    <row r="114" spans="1:79" ht="15.95" customHeight="1" outlineLevel="1">
      <c r="A114" s="222">
        <v>8</v>
      </c>
      <c r="B114" s="248" t="s">
        <v>123</v>
      </c>
      <c r="O114" s="276"/>
      <c r="P114" s="276"/>
      <c r="Q114" s="276"/>
      <c r="R114" s="276"/>
      <c r="S114" s="276"/>
      <c r="T114" s="276"/>
      <c r="U114" s="277"/>
    </row>
    <row r="115" spans="1:79" ht="15.95" customHeight="1" outlineLevel="1">
      <c r="A115" s="256" t="s">
        <v>78</v>
      </c>
      <c r="B115" s="258">
        <f>+K76</f>
        <v>0</v>
      </c>
      <c r="C115" s="224" t="s">
        <v>148</v>
      </c>
      <c r="O115" s="276"/>
      <c r="P115" s="276"/>
      <c r="Q115" s="276"/>
      <c r="R115" s="276"/>
      <c r="S115" s="276"/>
      <c r="T115" s="276"/>
      <c r="U115" s="277"/>
    </row>
    <row r="116" spans="1:79" s="224" customFormat="1" ht="15.95" customHeight="1" outlineLevel="1">
      <c r="A116" s="222"/>
      <c r="B116" s="109" t="s">
        <v>2</v>
      </c>
      <c r="C116" s="260">
        <f>+B115/LN</f>
        <v>0</v>
      </c>
      <c r="D116" s="224" t="s">
        <v>3</v>
      </c>
      <c r="M116" s="333">
        <f>+IF(C116&gt;AB116,AC116,IF(C116&gt;Z116,AA116,IF(C116&gt;=X116,Y116,0)))</f>
        <v>0</v>
      </c>
      <c r="O116" s="280" t="str">
        <f>+X116*100&amp;"–"&amp;Z116*100</f>
        <v>5–7</v>
      </c>
      <c r="P116" s="304" t="str">
        <f>+"&gt;"&amp;Z116*100&amp;"–"&amp;AB116*100</f>
        <v>&gt;7–9</v>
      </c>
      <c r="Q116" s="276" t="str">
        <f>+"&gt;"&amp;AB116*100</f>
        <v>&gt;9</v>
      </c>
      <c r="R116" s="276"/>
      <c r="S116" s="277"/>
      <c r="T116" s="276"/>
      <c r="U116" s="277" t="s">
        <v>59</v>
      </c>
      <c r="V116" s="282">
        <v>2</v>
      </c>
      <c r="W116" s="283"/>
      <c r="X116" s="305">
        <v>0.05</v>
      </c>
      <c r="Y116" s="253">
        <v>1</v>
      </c>
      <c r="Z116" s="305">
        <v>7.0000000000000007E-2</v>
      </c>
      <c r="AA116" s="253">
        <v>2</v>
      </c>
      <c r="AB116" s="305">
        <v>0.09</v>
      </c>
      <c r="AC116" s="253">
        <v>3</v>
      </c>
      <c r="AD116" s="305"/>
      <c r="AE116" s="253"/>
      <c r="AF116" s="252"/>
      <c r="AG116" s="253"/>
      <c r="AH116" s="252"/>
      <c r="AI116" s="253"/>
    </row>
    <row r="117" spans="1:79" ht="6" customHeight="1" outlineLevel="1">
      <c r="C117" s="232"/>
      <c r="D117" s="232"/>
      <c r="F117" s="232"/>
      <c r="G117" s="232"/>
      <c r="H117" s="232"/>
      <c r="N117" s="233"/>
      <c r="O117" s="276"/>
      <c r="P117" s="276"/>
      <c r="Q117" s="276"/>
      <c r="R117" s="276"/>
      <c r="S117" s="276"/>
      <c r="T117" s="276"/>
      <c r="U117" s="286"/>
    </row>
    <row r="118" spans="1:79" ht="15.95" customHeight="1" outlineLevel="1">
      <c r="A118" s="222">
        <v>9</v>
      </c>
      <c r="B118" s="534" t="s">
        <v>151</v>
      </c>
      <c r="C118" s="534"/>
      <c r="D118" s="534"/>
      <c r="E118" s="534"/>
      <c r="F118" s="232"/>
      <c r="G118" s="232"/>
      <c r="H118" s="232"/>
      <c r="O118" s="276"/>
      <c r="P118" s="276"/>
      <c r="Q118" s="276"/>
      <c r="R118" s="276"/>
      <c r="S118" s="276"/>
      <c r="T118" s="276"/>
      <c r="U118" s="277"/>
    </row>
    <row r="119" spans="1:79" ht="15.95" customHeight="1" outlineLevel="1">
      <c r="A119" s="254" t="s">
        <v>329</v>
      </c>
      <c r="B119" s="316">
        <v>0</v>
      </c>
      <c r="C119" s="224" t="s">
        <v>328</v>
      </c>
      <c r="E119" s="232"/>
      <c r="F119" s="232"/>
      <c r="G119" s="232"/>
      <c r="H119" s="232"/>
      <c r="M119" s="268"/>
      <c r="O119" s="280"/>
      <c r="P119" s="280"/>
      <c r="Q119" s="304"/>
      <c r="R119" s="276"/>
      <c r="S119" s="276"/>
      <c r="T119" s="276"/>
      <c r="U119" s="277"/>
      <c r="V119" s="282"/>
      <c r="W119" s="283"/>
      <c r="X119" s="305"/>
      <c r="Y119" s="253"/>
      <c r="Z119" s="305"/>
      <c r="AA119" s="253"/>
      <c r="AB119" s="305"/>
      <c r="AC119" s="253"/>
      <c r="AD119" s="305"/>
      <c r="AE119" s="253"/>
      <c r="AF119" s="252"/>
      <c r="AG119" s="253"/>
      <c r="AH119" s="252"/>
      <c r="AI119" s="253"/>
      <c r="AJ119" s="224"/>
      <c r="AK119" s="224"/>
    </row>
    <row r="120" spans="1:79" ht="15.95" customHeight="1" outlineLevel="1">
      <c r="A120" s="254"/>
      <c r="B120" s="109" t="s">
        <v>2</v>
      </c>
      <c r="C120" s="260">
        <f>+B119/LN*20</f>
        <v>0</v>
      </c>
      <c r="D120" s="231" t="s">
        <v>327</v>
      </c>
      <c r="G120" s="232"/>
      <c r="H120" s="232"/>
      <c r="M120" s="333">
        <f>+IF(C120&gt;AD120,AE120,IF(C120&gt;AB120,AC120,IF(C120&gt;Z120,AA120,IF(C120&gt;=X120,Y120,0))))</f>
        <v>0</v>
      </c>
      <c r="O120" s="280" t="str">
        <f>+X120&amp;"–"&amp;Z120</f>
        <v>3–5</v>
      </c>
      <c r="P120" s="280" t="str">
        <f>+"&gt;"&amp;Z120&amp;"–"&amp;AB120</f>
        <v>&gt;5–7</v>
      </c>
      <c r="Q120" s="304" t="str">
        <f>+"&gt;"&amp;AB120&amp;"–"&amp;AD120</f>
        <v>&gt;7–9</v>
      </c>
      <c r="R120" s="276" t="str">
        <f>+"&gt;"&amp;AD120</f>
        <v>&gt;9</v>
      </c>
      <c r="S120" s="276"/>
      <c r="T120" s="276"/>
      <c r="U120" s="277"/>
      <c r="V120" s="282">
        <v>3</v>
      </c>
      <c r="W120" s="283"/>
      <c r="X120" s="229">
        <v>3</v>
      </c>
      <c r="Y120" s="230">
        <v>1</v>
      </c>
      <c r="Z120" s="229">
        <v>5</v>
      </c>
      <c r="AA120" s="230">
        <v>2</v>
      </c>
      <c r="AB120" s="229">
        <v>7</v>
      </c>
      <c r="AC120" s="230">
        <v>3</v>
      </c>
      <c r="AD120" s="229">
        <v>9</v>
      </c>
      <c r="AE120" s="230">
        <v>4</v>
      </c>
      <c r="AF120" s="252"/>
      <c r="AJ120" s="224"/>
      <c r="AK120" s="224"/>
    </row>
    <row r="121" spans="1:79" ht="15.95" hidden="1" customHeight="1" outlineLevel="1">
      <c r="A121" s="254"/>
      <c r="B121" s="224" t="s">
        <v>402</v>
      </c>
      <c r="C121" s="317"/>
      <c r="G121" s="232"/>
      <c r="H121" s="232"/>
      <c r="M121" s="333"/>
      <c r="O121" s="280"/>
      <c r="P121" s="280"/>
      <c r="Q121" s="304"/>
      <c r="R121" s="276"/>
      <c r="S121" s="276"/>
      <c r="T121" s="276"/>
      <c r="U121" s="277"/>
      <c r="V121" s="282"/>
      <c r="W121" s="283"/>
      <c r="AF121" s="252"/>
      <c r="AJ121" s="224"/>
      <c r="AK121" s="224"/>
    </row>
    <row r="122" spans="1:79" ht="15.95" hidden="1" customHeight="1" outlineLevel="1">
      <c r="A122" s="254"/>
      <c r="B122" s="109"/>
      <c r="C122" s="317"/>
      <c r="G122" s="232"/>
      <c r="H122" s="232"/>
      <c r="M122" s="333"/>
      <c r="O122" s="280"/>
      <c r="P122" s="280"/>
      <c r="Q122" s="304"/>
      <c r="R122" s="276"/>
      <c r="S122" s="276"/>
      <c r="T122" s="276"/>
      <c r="U122" s="277"/>
      <c r="V122" s="282"/>
      <c r="W122" s="283"/>
      <c r="AF122" s="252"/>
      <c r="AJ122" s="224"/>
      <c r="AK122" s="224"/>
    </row>
    <row r="123" spans="1:79" ht="15.95" hidden="1" customHeight="1" outlineLevel="1">
      <c r="A123" s="254"/>
      <c r="B123" s="109"/>
      <c r="C123" s="317"/>
      <c r="G123" s="232"/>
      <c r="H123" s="232"/>
      <c r="M123" s="333"/>
      <c r="O123" s="280"/>
      <c r="P123" s="280"/>
      <c r="Q123" s="304"/>
      <c r="R123" s="276"/>
      <c r="S123" s="276"/>
      <c r="T123" s="276"/>
      <c r="U123" s="277"/>
      <c r="V123" s="282"/>
      <c r="W123" s="283"/>
      <c r="AF123" s="252"/>
      <c r="AJ123" s="224"/>
      <c r="AK123" s="224"/>
    </row>
    <row r="124" spans="1:79" ht="15.75" hidden="1" customHeight="1" outlineLevel="1">
      <c r="A124" s="254"/>
      <c r="B124" s="109"/>
      <c r="C124" s="317"/>
      <c r="G124" s="232"/>
      <c r="H124" s="232"/>
      <c r="M124" s="333"/>
      <c r="O124" s="280"/>
      <c r="P124" s="280"/>
      <c r="Q124" s="304"/>
      <c r="R124" s="276"/>
      <c r="S124" s="276"/>
      <c r="T124" s="276"/>
      <c r="U124" s="277"/>
      <c r="V124" s="282"/>
      <c r="W124" s="283"/>
      <c r="AF124" s="252"/>
      <c r="AJ124" s="224"/>
      <c r="AK124" s="224"/>
    </row>
    <row r="125" spans="1:79" ht="15.75" hidden="1" customHeight="1" outlineLevel="1">
      <c r="A125" s="254"/>
      <c r="B125" s="109"/>
      <c r="C125" s="317"/>
      <c r="G125" s="232"/>
      <c r="H125" s="232"/>
      <c r="M125" s="333"/>
      <c r="O125" s="280"/>
      <c r="P125" s="280"/>
      <c r="Q125" s="304"/>
      <c r="R125" s="276"/>
      <c r="S125" s="276"/>
      <c r="T125" s="276"/>
      <c r="U125" s="277"/>
      <c r="V125" s="282"/>
      <c r="W125" s="283"/>
      <c r="AF125" s="252"/>
      <c r="AJ125" s="224"/>
      <c r="AK125" s="224"/>
    </row>
    <row r="126" spans="1:79" ht="15.75" hidden="1" customHeight="1" outlineLevel="1">
      <c r="A126" s="254"/>
      <c r="B126" s="109"/>
      <c r="C126" s="317"/>
      <c r="G126" s="232"/>
      <c r="H126" s="232"/>
      <c r="M126" s="333"/>
      <c r="O126" s="280"/>
      <c r="P126" s="280"/>
      <c r="Q126" s="304"/>
      <c r="R126" s="276"/>
      <c r="S126" s="276"/>
      <c r="T126" s="276"/>
      <c r="U126" s="277"/>
      <c r="V126" s="282"/>
      <c r="W126" s="283"/>
      <c r="AF126" s="252"/>
      <c r="AJ126" s="224"/>
      <c r="AK126" s="224"/>
    </row>
    <row r="127" spans="1:79" ht="6" customHeight="1" outlineLevel="1">
      <c r="D127" s="232"/>
      <c r="E127" s="232"/>
      <c r="F127" s="232"/>
      <c r="G127" s="232"/>
      <c r="H127" s="232"/>
      <c r="N127" s="233"/>
      <c r="O127" s="276"/>
      <c r="P127" s="276"/>
      <c r="Q127" s="276"/>
      <c r="R127" s="276"/>
      <c r="S127" s="276"/>
      <c r="T127" s="276"/>
      <c r="U127" s="286"/>
    </row>
    <row r="128" spans="1:79" s="272" customFormat="1" ht="20.100000000000001" customHeight="1" outlineLevel="1">
      <c r="A128" s="271" t="s">
        <v>127</v>
      </c>
      <c r="C128" s="271"/>
      <c r="N128" s="318">
        <f>M120+M116+M106+M98+M86+M85+M50+M43+M42</f>
        <v>0</v>
      </c>
      <c r="O128" s="275"/>
      <c r="P128" s="275"/>
      <c r="Q128" s="275"/>
      <c r="R128" s="275"/>
      <c r="S128" s="275"/>
      <c r="T128" s="275"/>
      <c r="U128" s="292"/>
      <c r="V128" s="234"/>
      <c r="W128" s="234"/>
      <c r="X128" s="229"/>
      <c r="Y128" s="230"/>
      <c r="Z128" s="229"/>
      <c r="AA128" s="230"/>
      <c r="AB128" s="229"/>
      <c r="AC128" s="230"/>
      <c r="AD128" s="229"/>
      <c r="AE128" s="230"/>
      <c r="AF128" s="229"/>
      <c r="AG128" s="230"/>
      <c r="AH128" s="229"/>
      <c r="AI128" s="230"/>
      <c r="AJ128" s="292"/>
      <c r="AK128" s="292"/>
      <c r="AL128" s="292"/>
      <c r="AM128" s="292"/>
      <c r="AN128" s="292"/>
      <c r="AO128" s="292"/>
      <c r="AP128" s="292"/>
      <c r="AQ128" s="292"/>
      <c r="AR128" s="292"/>
      <c r="AS128" s="292"/>
      <c r="AT128" s="292"/>
      <c r="AU128" s="292"/>
      <c r="AV128" s="292"/>
      <c r="AW128" s="292"/>
      <c r="AX128" s="292"/>
      <c r="AY128" s="292"/>
      <c r="AZ128" s="292"/>
      <c r="BA128" s="292"/>
      <c r="BB128" s="292"/>
      <c r="BC128" s="292"/>
      <c r="BD128" s="292"/>
      <c r="BE128" s="292"/>
      <c r="BF128" s="292"/>
      <c r="BG128" s="292"/>
      <c r="BH128" s="292"/>
      <c r="BI128" s="292"/>
      <c r="BJ128" s="292"/>
      <c r="BK128" s="292"/>
      <c r="BL128" s="292"/>
      <c r="BM128" s="292"/>
      <c r="BN128" s="292"/>
      <c r="BO128" s="292"/>
      <c r="BP128" s="292"/>
      <c r="BQ128" s="292"/>
      <c r="BR128" s="292"/>
      <c r="BS128" s="292"/>
      <c r="BT128" s="292"/>
      <c r="BU128" s="292"/>
      <c r="BV128" s="292"/>
      <c r="BW128" s="292"/>
      <c r="BX128" s="292"/>
      <c r="BY128" s="292"/>
      <c r="BZ128" s="292"/>
      <c r="CA128" s="292"/>
    </row>
    <row r="129" spans="1:36" s="272" customFormat="1" ht="20.100000000000001" customHeight="1">
      <c r="A129" s="271" t="s">
        <v>69</v>
      </c>
      <c r="D129" s="319"/>
      <c r="E129" s="319"/>
      <c r="F129" s="319"/>
      <c r="G129" s="319"/>
      <c r="H129" s="319"/>
      <c r="M129" s="320"/>
      <c r="N129" s="320"/>
      <c r="O129" s="320"/>
      <c r="P129" s="320"/>
      <c r="Q129" s="320"/>
      <c r="R129" s="320"/>
      <c r="S129" s="320"/>
      <c r="T129" s="320"/>
      <c r="U129" s="292"/>
      <c r="V129" s="234"/>
      <c r="W129" s="234"/>
      <c r="X129" s="229"/>
      <c r="Y129" s="230"/>
      <c r="Z129" s="229"/>
      <c r="AA129" s="230"/>
      <c r="AB129" s="229"/>
      <c r="AC129" s="230"/>
      <c r="AD129" s="229"/>
      <c r="AE129" s="230"/>
      <c r="AF129" s="229"/>
      <c r="AG129" s="230"/>
      <c r="AH129" s="229"/>
      <c r="AI129" s="230"/>
    </row>
    <row r="130" spans="1:36" ht="6" customHeight="1" outlineLevel="1">
      <c r="D130" s="232"/>
      <c r="E130" s="232"/>
      <c r="F130" s="232"/>
      <c r="G130" s="232"/>
      <c r="H130" s="232"/>
      <c r="N130" s="233"/>
      <c r="O130" s="276"/>
      <c r="P130" s="276"/>
      <c r="Q130" s="276"/>
      <c r="R130" s="276"/>
      <c r="S130" s="276"/>
      <c r="T130" s="276"/>
      <c r="U130" s="286"/>
    </row>
    <row r="131" spans="1:36" s="272" customFormat="1" ht="20.100000000000001" customHeight="1">
      <c r="A131" s="271" t="s">
        <v>30</v>
      </c>
      <c r="C131" s="271"/>
      <c r="K131" s="273"/>
      <c r="L131" s="273"/>
      <c r="M131" s="274" t="s">
        <v>9</v>
      </c>
      <c r="N131" s="274" t="s">
        <v>71</v>
      </c>
      <c r="O131" s="275" t="s">
        <v>16</v>
      </c>
      <c r="P131" s="275" t="s">
        <v>10</v>
      </c>
      <c r="Q131" s="275" t="s">
        <v>17</v>
      </c>
      <c r="R131" s="275" t="s">
        <v>11</v>
      </c>
      <c r="S131" s="275"/>
      <c r="T131" s="275"/>
      <c r="U131" s="275" t="s">
        <v>15</v>
      </c>
      <c r="V131" s="234"/>
      <c r="W131" s="234"/>
      <c r="X131" s="229"/>
      <c r="Y131" s="230"/>
      <c r="Z131" s="229"/>
      <c r="AA131" s="230"/>
      <c r="AB131" s="229"/>
      <c r="AC131" s="230"/>
      <c r="AD131" s="229"/>
      <c r="AE131" s="230"/>
      <c r="AF131" s="229"/>
      <c r="AG131" s="230"/>
      <c r="AH131" s="229"/>
      <c r="AI131" s="230"/>
    </row>
    <row r="132" spans="1:36" ht="6" customHeight="1">
      <c r="D132" s="232"/>
      <c r="E132" s="232"/>
      <c r="F132" s="232"/>
      <c r="G132" s="232"/>
      <c r="H132" s="232"/>
      <c r="N132" s="233"/>
      <c r="O132" s="276"/>
      <c r="P132" s="276"/>
      <c r="Q132" s="276"/>
      <c r="R132" s="276"/>
      <c r="S132" s="276"/>
      <c r="T132" s="276"/>
      <c r="U132" s="286"/>
    </row>
    <row r="133" spans="1:36" s="224" customFormat="1" ht="15.95" customHeight="1">
      <c r="A133" s="222">
        <v>10</v>
      </c>
      <c r="B133" s="248" t="s">
        <v>47</v>
      </c>
      <c r="E133" s="248"/>
      <c r="F133" s="248"/>
      <c r="G133" s="248"/>
      <c r="H133" s="248"/>
      <c r="M133" s="225"/>
      <c r="N133" s="226"/>
      <c r="O133" s="276"/>
      <c r="P133" s="276"/>
      <c r="Q133" s="276"/>
      <c r="R133" s="276"/>
      <c r="S133" s="276"/>
      <c r="T133" s="276"/>
      <c r="U133" s="277"/>
      <c r="V133" s="321"/>
      <c r="W133" s="321"/>
      <c r="X133" s="252"/>
      <c r="Y133" s="253"/>
      <c r="Z133" s="252"/>
      <c r="AA133" s="253"/>
      <c r="AB133" s="252"/>
      <c r="AC133" s="253"/>
      <c r="AD133" s="252"/>
      <c r="AE133" s="253"/>
      <c r="AF133" s="252"/>
      <c r="AG133" s="253"/>
      <c r="AH133" s="252"/>
      <c r="AI133" s="253"/>
    </row>
    <row r="134" spans="1:36" s="224" customFormat="1" ht="15.95" customHeight="1">
      <c r="A134" s="222">
        <v>10.1</v>
      </c>
      <c r="B134" s="250">
        <v>0</v>
      </c>
      <c r="C134" s="526" t="s">
        <v>326</v>
      </c>
      <c r="D134" s="526"/>
      <c r="E134" s="526"/>
      <c r="F134" s="526"/>
      <c r="G134" s="526"/>
      <c r="H134" s="526"/>
      <c r="I134" s="526"/>
      <c r="J134" s="526"/>
      <c r="K134" s="526"/>
      <c r="L134" s="526"/>
      <c r="M134" s="225"/>
      <c r="N134" s="226"/>
      <c r="O134" s="276"/>
      <c r="P134" s="276"/>
      <c r="Q134" s="276"/>
      <c r="R134" s="276"/>
      <c r="S134" s="276"/>
      <c r="T134" s="276"/>
      <c r="U134" s="277"/>
      <c r="V134" s="321"/>
      <c r="W134" s="321"/>
      <c r="X134" s="252"/>
      <c r="Y134" s="253"/>
      <c r="Z134" s="252"/>
      <c r="AA134" s="253"/>
      <c r="AB134" s="252"/>
      <c r="AC134" s="253"/>
      <c r="AD134" s="252"/>
      <c r="AE134" s="253"/>
      <c r="AF134" s="252"/>
      <c r="AG134" s="253"/>
      <c r="AH134" s="252"/>
      <c r="AI134" s="253"/>
    </row>
    <row r="135" spans="1:36" s="224" customFormat="1" ht="15.95" customHeight="1">
      <c r="A135" s="222"/>
      <c r="B135" s="109" t="s">
        <v>2</v>
      </c>
      <c r="C135" s="300">
        <f>+IF(offene_Ackerfläche&gt;0,B134/offene_Ackerfläche,0)</f>
        <v>0</v>
      </c>
      <c r="D135" s="224" t="s">
        <v>42</v>
      </c>
      <c r="M135" s="333">
        <f>+IF(C135&gt;AD135,AE135,IF(C135&gt;AB135,AC135,IF(C135&gt;Z135,AA135,IF(C135&gt;=X135,Y135,0))))</f>
        <v>0</v>
      </c>
      <c r="N135" s="226"/>
      <c r="O135" s="280" t="str">
        <f>+X135*100&amp;"–"&amp;Z135*100</f>
        <v>3–5</v>
      </c>
      <c r="P135" s="276" t="str">
        <f>+"&gt;"&amp;Z135*100&amp;"–"&amp;AB135*100</f>
        <v>&gt;5–10</v>
      </c>
      <c r="Q135" s="276" t="str">
        <f>+"&gt;"&amp;AB135*100&amp;"–"&amp;AD135*100</f>
        <v>&gt;10–20</v>
      </c>
      <c r="R135" s="276" t="str">
        <f>+"&gt;"&amp;AD135*100</f>
        <v>&gt;20</v>
      </c>
      <c r="S135" s="322"/>
      <c r="T135" s="276"/>
      <c r="U135" s="277" t="s">
        <v>41</v>
      </c>
      <c r="V135" s="323"/>
      <c r="W135" s="321"/>
      <c r="X135" s="324">
        <v>0.03</v>
      </c>
      <c r="Y135" s="253">
        <v>0.5</v>
      </c>
      <c r="Z135" s="324">
        <v>0.05</v>
      </c>
      <c r="AA135" s="253">
        <v>1</v>
      </c>
      <c r="AB135" s="324">
        <v>0.1</v>
      </c>
      <c r="AC135" s="253">
        <v>1.5</v>
      </c>
      <c r="AD135" s="324">
        <v>0.2</v>
      </c>
      <c r="AE135" s="253">
        <v>2</v>
      </c>
      <c r="AF135" s="324"/>
      <c r="AG135" s="253"/>
      <c r="AH135" s="324"/>
      <c r="AI135" s="253"/>
    </row>
    <row r="136" spans="1:36" s="224" customFormat="1" ht="15.95" customHeight="1">
      <c r="A136" s="254" t="s">
        <v>190</v>
      </c>
      <c r="B136" s="250">
        <v>0</v>
      </c>
      <c r="C136" s="526" t="s">
        <v>142</v>
      </c>
      <c r="D136" s="526"/>
      <c r="E136" s="526"/>
      <c r="F136" s="526"/>
      <c r="G136" s="526"/>
      <c r="H136" s="248"/>
      <c r="L136" s="248"/>
      <c r="M136" s="285"/>
      <c r="N136" s="285"/>
      <c r="O136" s="280"/>
      <c r="P136" s="280"/>
      <c r="Q136" s="276"/>
      <c r="R136" s="276"/>
      <c r="S136" s="276"/>
      <c r="T136" s="276"/>
      <c r="U136" s="276"/>
      <c r="V136" s="323"/>
      <c r="W136" s="321"/>
      <c r="X136" s="305"/>
      <c r="Y136" s="253"/>
      <c r="Z136" s="305"/>
      <c r="AA136" s="325"/>
      <c r="AB136" s="305"/>
      <c r="AC136" s="325"/>
      <c r="AD136" s="305"/>
      <c r="AE136" s="325"/>
      <c r="AF136" s="252"/>
      <c r="AG136" s="253"/>
      <c r="AH136" s="252"/>
      <c r="AI136" s="253"/>
      <c r="AJ136" s="326"/>
    </row>
    <row r="137" spans="1:36" s="224" customFormat="1" ht="15.95" customHeight="1">
      <c r="A137" s="222"/>
      <c r="B137" s="109" t="s">
        <v>2</v>
      </c>
      <c r="C137" s="300">
        <f>+IF(offene_Ackerfläche&gt;0,B136/offene_Ackerfläche,0)</f>
        <v>0</v>
      </c>
      <c r="D137" s="224" t="s">
        <v>42</v>
      </c>
      <c r="M137" s="333">
        <f>+IF(C137&gt;AD137,AE137,IF(C137&gt;AB137,AC137,IF(C137&gt;Z137,AA137,IF(C137&gt;=X137,Y137,0))))</f>
        <v>0</v>
      </c>
      <c r="N137" s="285"/>
      <c r="O137" s="280" t="str">
        <f>+X137*100&amp;"–"&amp;Z137*100</f>
        <v>3–5</v>
      </c>
      <c r="P137" s="276" t="str">
        <f>+"&gt;"&amp;Z137*100&amp;"–"&amp;AB137*100</f>
        <v>&gt;5–10</v>
      </c>
      <c r="Q137" s="276" t="str">
        <f>+"&gt;"&amp;AB137*100&amp;"–"&amp;AD137*100</f>
        <v>&gt;10–20</v>
      </c>
      <c r="R137" s="276" t="str">
        <f>+"&gt;"&amp;AD137*100</f>
        <v>&gt;20</v>
      </c>
      <c r="S137" s="322"/>
      <c r="T137" s="276"/>
      <c r="U137" s="277" t="s">
        <v>41</v>
      </c>
      <c r="V137" s="323"/>
      <c r="W137" s="321"/>
      <c r="X137" s="305">
        <v>0.03</v>
      </c>
      <c r="Y137" s="253">
        <v>0.5</v>
      </c>
      <c r="Z137" s="305">
        <v>0.05</v>
      </c>
      <c r="AA137" s="325">
        <v>1</v>
      </c>
      <c r="AB137" s="305">
        <v>0.1</v>
      </c>
      <c r="AC137" s="325">
        <v>1.5</v>
      </c>
      <c r="AD137" s="305">
        <v>0.2</v>
      </c>
      <c r="AE137" s="325">
        <v>2</v>
      </c>
      <c r="AF137" s="252"/>
      <c r="AG137" s="253"/>
      <c r="AH137" s="252"/>
      <c r="AI137" s="253"/>
      <c r="AJ137" s="326"/>
    </row>
    <row r="138" spans="1:36" s="224" customFormat="1" ht="15.95" customHeight="1">
      <c r="A138" s="222">
        <v>10.199999999999999</v>
      </c>
      <c r="B138" s="250">
        <v>0</v>
      </c>
      <c r="C138" s="526" t="s">
        <v>39</v>
      </c>
      <c r="D138" s="526"/>
      <c r="E138" s="526"/>
      <c r="F138" s="526"/>
      <c r="G138" s="526"/>
      <c r="H138" s="526"/>
      <c r="I138" s="526"/>
      <c r="J138" s="526"/>
      <c r="K138" s="526"/>
      <c r="L138" s="526"/>
      <c r="M138" s="285"/>
      <c r="N138" s="226"/>
      <c r="O138" s="327"/>
      <c r="P138" s="276"/>
      <c r="Q138" s="276"/>
      <c r="R138" s="276"/>
      <c r="S138" s="276"/>
      <c r="T138" s="276"/>
      <c r="U138" s="277"/>
      <c r="V138" s="323"/>
      <c r="W138" s="321"/>
      <c r="X138" s="324"/>
      <c r="Y138" s="253"/>
      <c r="Z138" s="324"/>
      <c r="AA138" s="253"/>
      <c r="AB138" s="324"/>
      <c r="AC138" s="253"/>
      <c r="AD138" s="324"/>
      <c r="AE138" s="253"/>
      <c r="AF138" s="252"/>
      <c r="AG138" s="253"/>
      <c r="AH138" s="252"/>
      <c r="AI138" s="253"/>
    </row>
    <row r="139" spans="1:36" s="224" customFormat="1" ht="15.95" customHeight="1">
      <c r="B139" s="109" t="s">
        <v>2</v>
      </c>
      <c r="C139" s="300">
        <f>+IF(offene_Ackerfläche&gt;0,B138/offene_Ackerfläche,0)</f>
        <v>0</v>
      </c>
      <c r="D139" s="224" t="s">
        <v>42</v>
      </c>
      <c r="M139" s="333">
        <f>+IF(C139&gt;AD139,AE139,IF(C139&gt;AB139,AC139,IF(C139&gt;Z139,AA139,IF(C139&gt;=X139,Y139,0))))</f>
        <v>0</v>
      </c>
      <c r="N139" s="226"/>
      <c r="O139" s="280" t="str">
        <f>+X139*100&amp;"–"&amp;Z139*100</f>
        <v>3–5</v>
      </c>
      <c r="P139" s="276" t="str">
        <f>+"&gt;"&amp;Z139*100&amp;"–"&amp;AB139*100</f>
        <v>&gt;5–10</v>
      </c>
      <c r="Q139" s="276" t="str">
        <f>+"&gt;"&amp;AB139*100&amp;"–"&amp;AD139*100</f>
        <v>&gt;10–20</v>
      </c>
      <c r="R139" s="276" t="str">
        <f>+"&gt;"&amp;AD139*100</f>
        <v>&gt;20</v>
      </c>
      <c r="S139" s="322"/>
      <c r="T139" s="276"/>
      <c r="U139" s="277" t="s">
        <v>41</v>
      </c>
      <c r="V139" s="323"/>
      <c r="W139" s="321"/>
      <c r="X139" s="324">
        <v>0.03</v>
      </c>
      <c r="Y139" s="253">
        <v>0.5</v>
      </c>
      <c r="Z139" s="324">
        <v>0.05</v>
      </c>
      <c r="AA139" s="253">
        <v>1</v>
      </c>
      <c r="AB139" s="324">
        <v>0.1</v>
      </c>
      <c r="AC139" s="253">
        <v>1.5</v>
      </c>
      <c r="AD139" s="324">
        <v>0.2</v>
      </c>
      <c r="AE139" s="253">
        <v>2</v>
      </c>
      <c r="AF139" s="324"/>
      <c r="AG139" s="253"/>
      <c r="AH139" s="324"/>
      <c r="AI139" s="253"/>
    </row>
    <row r="140" spans="1:36" s="224" customFormat="1" ht="15.95" customHeight="1">
      <c r="A140" s="222">
        <v>10.3</v>
      </c>
      <c r="B140" s="250">
        <v>0</v>
      </c>
      <c r="C140" s="224" t="s">
        <v>325</v>
      </c>
      <c r="D140" s="302"/>
      <c r="M140" s="333"/>
      <c r="N140" s="226"/>
      <c r="O140" s="327"/>
      <c r="P140" s="276"/>
      <c r="Q140" s="276"/>
      <c r="R140" s="276"/>
      <c r="S140" s="276"/>
      <c r="T140" s="276"/>
      <c r="U140" s="277"/>
      <c r="V140" s="323"/>
      <c r="W140" s="321"/>
      <c r="X140" s="324"/>
      <c r="Y140" s="253"/>
      <c r="Z140" s="324"/>
      <c r="AA140" s="253"/>
      <c r="AB140" s="324"/>
      <c r="AC140" s="253"/>
      <c r="AD140" s="324"/>
      <c r="AE140" s="253"/>
      <c r="AF140" s="252"/>
      <c r="AG140" s="253"/>
      <c r="AH140" s="252"/>
      <c r="AI140" s="253"/>
    </row>
    <row r="141" spans="1:36" s="224" customFormat="1" ht="15.95" customHeight="1">
      <c r="B141" s="109" t="s">
        <v>2</v>
      </c>
      <c r="C141" s="300">
        <f>+IF(offene_Ackerfläche&gt;0,B140/offene_Ackerfläche,0)</f>
        <v>0</v>
      </c>
      <c r="D141" s="224" t="s">
        <v>42</v>
      </c>
      <c r="M141" s="333">
        <f>+IF(C141&gt;AD141,AE141,IF(C141&gt;AB141,AC141,IF(C141&gt;Z141,AA141,IF(C141&gt;=X141,Y141,0))))</f>
        <v>0</v>
      </c>
      <c r="N141" s="226"/>
      <c r="O141" s="280" t="str">
        <f>+X141*100&amp;"–"&amp;Z141*100</f>
        <v>10–15</v>
      </c>
      <c r="P141" s="276" t="str">
        <f>+"&gt;"&amp;Z141*100&amp;"–"&amp;AB141*100</f>
        <v>&gt;15–20</v>
      </c>
      <c r="Q141" s="276" t="str">
        <f>+"&gt;"&amp;AB141*100&amp;"–"&amp;AD141*100</f>
        <v>&gt;20–25</v>
      </c>
      <c r="R141" s="276" t="str">
        <f>+"&gt;"&amp;AD141*100</f>
        <v>&gt;25</v>
      </c>
      <c r="S141" s="276"/>
      <c r="T141" s="276"/>
      <c r="U141" s="277" t="s">
        <v>41</v>
      </c>
      <c r="V141" s="323"/>
      <c r="W141" s="321"/>
      <c r="X141" s="324">
        <v>0.1</v>
      </c>
      <c r="Y141" s="253">
        <v>0.5</v>
      </c>
      <c r="Z141" s="324">
        <v>0.15</v>
      </c>
      <c r="AA141" s="253">
        <v>1</v>
      </c>
      <c r="AB141" s="324">
        <v>0.2</v>
      </c>
      <c r="AC141" s="253">
        <v>1.5</v>
      </c>
      <c r="AD141" s="324">
        <v>0.25</v>
      </c>
      <c r="AE141" s="253">
        <v>2</v>
      </c>
      <c r="AF141" s="252"/>
      <c r="AG141" s="253"/>
      <c r="AH141" s="252"/>
      <c r="AI141" s="253"/>
    </row>
    <row r="142" spans="1:36" s="224" customFormat="1" ht="15.95" customHeight="1">
      <c r="A142" s="222">
        <v>10.4</v>
      </c>
      <c r="B142" s="250">
        <v>0</v>
      </c>
      <c r="C142" s="526" t="s">
        <v>324</v>
      </c>
      <c r="D142" s="526"/>
      <c r="E142" s="526"/>
      <c r="F142" s="526"/>
      <c r="G142" s="526"/>
      <c r="H142" s="526"/>
      <c r="I142" s="526"/>
      <c r="J142" s="526"/>
      <c r="K142" s="526"/>
      <c r="L142" s="526"/>
      <c r="M142" s="285"/>
      <c r="N142" s="226"/>
      <c r="O142" s="280"/>
      <c r="P142" s="276"/>
      <c r="Q142" s="276"/>
      <c r="R142" s="276"/>
      <c r="S142" s="276"/>
      <c r="T142" s="276"/>
      <c r="U142" s="277"/>
      <c r="V142" s="323"/>
      <c r="W142" s="321"/>
      <c r="X142" s="324"/>
      <c r="Y142" s="253"/>
      <c r="Z142" s="324"/>
      <c r="AA142" s="253"/>
      <c r="AB142" s="324"/>
      <c r="AC142" s="253"/>
      <c r="AD142" s="324"/>
      <c r="AE142" s="253"/>
      <c r="AF142" s="252"/>
      <c r="AG142" s="253"/>
      <c r="AH142" s="252"/>
      <c r="AI142" s="253"/>
    </row>
    <row r="143" spans="1:36" s="224" customFormat="1" ht="15.95" customHeight="1">
      <c r="B143" s="109" t="s">
        <v>2</v>
      </c>
      <c r="C143" s="300">
        <f>+IF(offene_Ackerfläche&gt;0,B142/offene_Ackerfläche,0)</f>
        <v>0</v>
      </c>
      <c r="D143" s="224" t="s">
        <v>42</v>
      </c>
      <c r="M143" s="333">
        <f>+IF(C143&gt;AD143,AE143,IF(C143&gt;AB143,AC143,IF(C143&gt;Z143,AA143,IF(C143&gt;=X143,Y143,0))))</f>
        <v>0</v>
      </c>
      <c r="N143" s="226"/>
      <c r="O143" s="280" t="str">
        <f>+X143*100&amp;"–"&amp;Z143*100</f>
        <v>10–15</v>
      </c>
      <c r="P143" s="276" t="str">
        <f>+"&gt;"&amp;Z143*100&amp;"–"&amp;AB143*100</f>
        <v>&gt;15–20</v>
      </c>
      <c r="Q143" s="276" t="str">
        <f>+"&gt;"&amp;AB143*100&amp;"–"&amp;AD143*100</f>
        <v>&gt;20–25</v>
      </c>
      <c r="R143" s="276" t="str">
        <f>+"&gt;"&amp;AD143*100</f>
        <v>&gt;25</v>
      </c>
      <c r="S143" s="276"/>
      <c r="T143" s="276"/>
      <c r="U143" s="277" t="s">
        <v>41</v>
      </c>
      <c r="V143" s="323"/>
      <c r="W143" s="321"/>
      <c r="X143" s="324">
        <v>0.1</v>
      </c>
      <c r="Y143" s="253">
        <v>0.5</v>
      </c>
      <c r="Z143" s="324">
        <v>0.15</v>
      </c>
      <c r="AA143" s="253">
        <v>1</v>
      </c>
      <c r="AB143" s="324">
        <v>0.2</v>
      </c>
      <c r="AC143" s="253">
        <v>1.5</v>
      </c>
      <c r="AD143" s="324">
        <v>0.25</v>
      </c>
      <c r="AE143" s="253">
        <v>2</v>
      </c>
      <c r="AF143" s="252"/>
      <c r="AG143" s="253"/>
      <c r="AH143" s="252"/>
      <c r="AI143" s="253"/>
    </row>
    <row r="144" spans="1:36" s="224" customFormat="1" ht="15.95" customHeight="1">
      <c r="A144" s="222">
        <v>10.5</v>
      </c>
      <c r="B144" s="250">
        <v>0</v>
      </c>
      <c r="C144" s="526" t="s">
        <v>183</v>
      </c>
      <c r="D144" s="526"/>
      <c r="E144" s="526"/>
      <c r="F144" s="526"/>
      <c r="G144" s="526"/>
      <c r="H144" s="526"/>
      <c r="I144" s="526"/>
      <c r="J144" s="526"/>
      <c r="K144" s="526"/>
      <c r="L144" s="526"/>
      <c r="M144" s="285"/>
      <c r="N144" s="226"/>
      <c r="O144" s="280"/>
      <c r="P144" s="276"/>
      <c r="Q144" s="276"/>
      <c r="R144" s="276"/>
      <c r="S144" s="276"/>
      <c r="T144" s="276"/>
      <c r="U144" s="277"/>
      <c r="V144" s="323"/>
      <c r="W144" s="321"/>
      <c r="X144" s="324"/>
      <c r="Y144" s="253"/>
      <c r="Z144" s="324"/>
      <c r="AA144" s="253"/>
      <c r="AB144" s="324"/>
      <c r="AC144" s="253"/>
      <c r="AD144" s="252"/>
      <c r="AE144" s="253"/>
      <c r="AF144" s="252"/>
      <c r="AG144" s="253"/>
      <c r="AH144" s="252"/>
      <c r="AI144" s="253"/>
    </row>
    <row r="145" spans="1:40" s="224" customFormat="1" ht="15.95" customHeight="1">
      <c r="B145" s="109" t="s">
        <v>2</v>
      </c>
      <c r="C145" s="300">
        <f>+IF(offene_Ackerfläche&gt;0,B144/offene_Ackerfläche,0)</f>
        <v>0</v>
      </c>
      <c r="D145" s="224" t="s">
        <v>42</v>
      </c>
      <c r="M145" s="333">
        <f>+IF(C145&gt;AD145,AE145,IF(C145&gt;AB145,AC145,IF(C145&gt;Z145,AA145,IF(C145&gt;=X145,Y145,0))))</f>
        <v>0</v>
      </c>
      <c r="N145" s="226"/>
      <c r="O145" s="280" t="str">
        <f>+X145*100&amp;"–"&amp;Z145*100</f>
        <v>10–15</v>
      </c>
      <c r="P145" s="276" t="str">
        <f>+"&gt;"&amp;Z145*100&amp;"–"&amp;AB145*100</f>
        <v>&gt;15–20</v>
      </c>
      <c r="Q145" s="276" t="str">
        <f>+"&gt;"&amp;AB145*100&amp;"–"&amp;AD145*100</f>
        <v>&gt;20–25</v>
      </c>
      <c r="R145" s="276" t="str">
        <f>+"&gt;"&amp;AD145*100</f>
        <v>&gt;25</v>
      </c>
      <c r="S145" s="276"/>
      <c r="T145" s="276"/>
      <c r="U145" s="277" t="s">
        <v>41</v>
      </c>
      <c r="V145" s="323"/>
      <c r="W145" s="321"/>
      <c r="X145" s="324">
        <v>0.1</v>
      </c>
      <c r="Y145" s="253">
        <v>0.5</v>
      </c>
      <c r="Z145" s="324">
        <v>0.15</v>
      </c>
      <c r="AA145" s="253">
        <v>1</v>
      </c>
      <c r="AB145" s="324">
        <v>0.2</v>
      </c>
      <c r="AC145" s="253">
        <v>1.5</v>
      </c>
      <c r="AD145" s="324">
        <v>0.25</v>
      </c>
      <c r="AE145" s="253">
        <v>2</v>
      </c>
      <c r="AF145" s="252"/>
      <c r="AG145" s="253"/>
      <c r="AH145" s="252"/>
      <c r="AI145" s="253"/>
    </row>
    <row r="146" spans="1:40" s="224" customFormat="1" ht="15.95" customHeight="1">
      <c r="A146" s="222">
        <v>10.6</v>
      </c>
      <c r="B146" s="250">
        <v>0</v>
      </c>
      <c r="C146" s="526" t="s">
        <v>163</v>
      </c>
      <c r="D146" s="526"/>
      <c r="E146" s="526"/>
      <c r="F146" s="526"/>
      <c r="G146" s="526"/>
      <c r="H146" s="526"/>
      <c r="I146" s="526"/>
      <c r="J146" s="526"/>
      <c r="K146" s="526"/>
      <c r="L146" s="526"/>
      <c r="M146" s="285"/>
      <c r="N146" s="226"/>
      <c r="O146" s="276"/>
      <c r="P146" s="280"/>
      <c r="Q146" s="276"/>
      <c r="R146" s="276"/>
      <c r="S146" s="276"/>
      <c r="T146" s="276"/>
      <c r="U146" s="277"/>
      <c r="V146" s="282"/>
      <c r="W146" s="283"/>
      <c r="X146" s="305"/>
      <c r="Y146" s="253"/>
      <c r="Z146" s="305"/>
      <c r="AA146" s="253"/>
      <c r="AB146" s="305"/>
      <c r="AC146" s="253"/>
      <c r="AD146" s="305"/>
      <c r="AE146" s="253"/>
      <c r="AF146" s="252"/>
      <c r="AG146" s="253"/>
      <c r="AH146" s="252"/>
      <c r="AI146" s="253"/>
    </row>
    <row r="147" spans="1:40" s="224" customFormat="1" ht="15.95" customHeight="1">
      <c r="A147" s="222"/>
      <c r="B147" s="109" t="s">
        <v>2</v>
      </c>
      <c r="C147" s="300">
        <f>+IF(offene_Ackerfläche&gt;0,B146/offene_Ackerfläche,0)</f>
        <v>0</v>
      </c>
      <c r="D147" s="224" t="s">
        <v>42</v>
      </c>
      <c r="M147" s="333">
        <f>+IF(C147&gt;AD147,AE147,IF(C147&gt;AB147,AC147,IF(C147&gt;Z147,AA147,IF(C147&gt;=X147,Y147,0))))</f>
        <v>0</v>
      </c>
      <c r="N147" s="226"/>
      <c r="O147" s="280" t="str">
        <f>+X147*100&amp;"–"&amp;Z147*100</f>
        <v>1.5–2</v>
      </c>
      <c r="P147" s="276" t="str">
        <f>+"&gt;"&amp;Z147*100&amp;"–"&amp;AB147*100</f>
        <v>&gt;2–2.5</v>
      </c>
      <c r="Q147" s="276" t="str">
        <f>+"&gt;"&amp;AB147*100&amp;"–"&amp;AD147*100</f>
        <v>&gt;2.5–3</v>
      </c>
      <c r="R147" s="276" t="str">
        <f>+"&gt;"&amp;AD147*100</f>
        <v>&gt;3</v>
      </c>
      <c r="S147" s="276"/>
      <c r="T147" s="276"/>
      <c r="U147" s="277" t="s">
        <v>41</v>
      </c>
      <c r="V147" s="323"/>
      <c r="W147" s="328"/>
      <c r="X147" s="305">
        <v>1.4999999999999999E-2</v>
      </c>
      <c r="Y147" s="253">
        <v>0.5</v>
      </c>
      <c r="Z147" s="305">
        <v>0.02</v>
      </c>
      <c r="AA147" s="325">
        <v>1</v>
      </c>
      <c r="AB147" s="305">
        <v>2.5000000000000001E-2</v>
      </c>
      <c r="AC147" s="325">
        <v>1.5</v>
      </c>
      <c r="AD147" s="305">
        <v>0.03</v>
      </c>
      <c r="AE147" s="325">
        <v>2</v>
      </c>
      <c r="AF147" s="329"/>
      <c r="AG147" s="325"/>
      <c r="AH147" s="329"/>
      <c r="AI147" s="325"/>
    </row>
    <row r="148" spans="1:40" s="224" customFormat="1" ht="15.95" customHeight="1">
      <c r="A148" s="256">
        <v>10.7</v>
      </c>
      <c r="B148" s="250">
        <v>0</v>
      </c>
      <c r="C148" s="511" t="s">
        <v>407</v>
      </c>
      <c r="D148" s="511"/>
      <c r="E148" s="511"/>
      <c r="F148" s="511"/>
      <c r="G148" s="511"/>
      <c r="H148" s="511"/>
      <c r="I148" s="511"/>
      <c r="J148" s="511"/>
      <c r="K148" s="511"/>
      <c r="L148" s="511"/>
      <c r="M148" s="285"/>
      <c r="N148" s="226"/>
      <c r="O148" s="280"/>
      <c r="P148" s="276"/>
      <c r="Q148" s="276"/>
      <c r="R148" s="276"/>
      <c r="S148" s="276"/>
      <c r="T148" s="276"/>
      <c r="U148" s="277"/>
      <c r="V148" s="323"/>
      <c r="W148" s="328"/>
      <c r="X148" s="305"/>
      <c r="Y148" s="253"/>
      <c r="Z148" s="305"/>
      <c r="AA148" s="325"/>
      <c r="AB148" s="305"/>
      <c r="AC148" s="325"/>
      <c r="AD148" s="329"/>
      <c r="AE148" s="325"/>
      <c r="AF148" s="329"/>
      <c r="AG148" s="325"/>
      <c r="AH148" s="329"/>
      <c r="AI148" s="325"/>
    </row>
    <row r="149" spans="1:40" s="224" customFormat="1" ht="15.95" customHeight="1">
      <c r="A149" s="222"/>
      <c r="B149" s="109" t="s">
        <v>2</v>
      </c>
      <c r="C149" s="300">
        <f>+IF(offene_Ackerfläche&gt;0,B148/offene_Ackerfläche,0)</f>
        <v>0</v>
      </c>
      <c r="D149" s="224" t="s">
        <v>42</v>
      </c>
      <c r="M149" s="333">
        <f>+IF(C149&gt;AD149,AE149,IF(C149&gt;AB149,AC149,IF(C149&gt;Z149,AA149,IF(C149&gt;=X149,Y149,0))))</f>
        <v>0</v>
      </c>
      <c r="N149" s="226"/>
      <c r="O149" s="280" t="str">
        <f>+X149*100&amp;"–"&amp;Z149*100</f>
        <v>5–15</v>
      </c>
      <c r="P149" s="276" t="str">
        <f>+"&gt;"&amp;Z149*100&amp;"–"&amp;AB149*100</f>
        <v>&gt;15–25</v>
      </c>
      <c r="Q149" s="276" t="str">
        <f>+"&gt;"&amp;AB149*100&amp;"–"&amp;AD149*100</f>
        <v>&gt;25–35</v>
      </c>
      <c r="R149" s="276" t="str">
        <f>+"&gt;"&amp;AD149*100</f>
        <v>&gt;35</v>
      </c>
      <c r="S149" s="276"/>
      <c r="T149" s="276"/>
      <c r="U149" s="277" t="s">
        <v>41</v>
      </c>
      <c r="V149" s="323"/>
      <c r="W149" s="328"/>
      <c r="X149" s="305">
        <v>0.05</v>
      </c>
      <c r="Y149" s="253">
        <v>0.5</v>
      </c>
      <c r="Z149" s="305">
        <v>0.15</v>
      </c>
      <c r="AA149" s="325">
        <v>1</v>
      </c>
      <c r="AB149" s="305">
        <v>0.25</v>
      </c>
      <c r="AC149" s="325">
        <v>1.5</v>
      </c>
      <c r="AD149" s="305">
        <v>0.35</v>
      </c>
      <c r="AE149" s="325">
        <v>2</v>
      </c>
      <c r="AF149" s="305"/>
      <c r="AG149" s="325"/>
      <c r="AH149" s="329"/>
      <c r="AI149" s="325"/>
    </row>
    <row r="150" spans="1:40" s="64" customFormat="1" ht="15.95" customHeight="1">
      <c r="A150" s="94" t="s">
        <v>200</v>
      </c>
      <c r="B150" s="88">
        <v>0</v>
      </c>
      <c r="C150" s="511" t="s">
        <v>408</v>
      </c>
      <c r="D150" s="511"/>
      <c r="E150" s="511"/>
      <c r="F150" s="511"/>
      <c r="G150" s="511"/>
      <c r="H150" s="511"/>
      <c r="I150" s="511"/>
      <c r="J150" s="511"/>
      <c r="K150" s="511"/>
      <c r="L150" s="511"/>
      <c r="O150" s="144"/>
      <c r="P150" s="125"/>
      <c r="Q150" s="125"/>
      <c r="R150" s="125"/>
      <c r="S150" s="125"/>
      <c r="T150" s="125"/>
      <c r="U150" s="129"/>
      <c r="V150" s="181"/>
      <c r="W150" s="185"/>
      <c r="X150" s="158"/>
      <c r="Y150" s="92"/>
      <c r="Z150" s="158"/>
      <c r="AA150" s="183"/>
      <c r="AB150" s="158"/>
      <c r="AC150" s="183"/>
      <c r="AD150" s="186"/>
      <c r="AE150" s="183"/>
      <c r="AF150" s="186"/>
      <c r="AG150" s="183"/>
      <c r="AH150" s="186"/>
      <c r="AI150" s="183"/>
      <c r="AJ150" s="68"/>
      <c r="AK150" s="32"/>
      <c r="AL150" s="32"/>
      <c r="AM150" s="32"/>
      <c r="AN150" s="32"/>
    </row>
    <row r="151" spans="1:40" s="64" customFormat="1" ht="15.95" customHeight="1">
      <c r="A151" s="62"/>
      <c r="B151" s="132" t="s">
        <v>2</v>
      </c>
      <c r="C151" s="153">
        <f>+IF(offene_Ackerfläche&gt;0,B150/offene_Ackerfläche,0)</f>
        <v>0</v>
      </c>
      <c r="D151" s="511" t="s">
        <v>42</v>
      </c>
      <c r="E151" s="511"/>
      <c r="F151" s="511"/>
      <c r="G151" s="511"/>
      <c r="H151" s="511"/>
      <c r="I151" s="511"/>
      <c r="J151" s="511"/>
      <c r="K151" s="511"/>
      <c r="L151" s="511"/>
      <c r="M151" s="175">
        <f>+IF(C151&gt;AD151,AE151,IF(C151&gt;AB151,AC151,IF(C151&gt;Z151,AA151,IF(C151&gt;=X151,Y151,0))))</f>
        <v>0</v>
      </c>
      <c r="O151" s="280" t="str">
        <f>+X151*100&amp;"–"&amp;Z151*100</f>
        <v>3.5–5</v>
      </c>
      <c r="P151" s="276" t="str">
        <f>+"&gt;"&amp;Z151*100&amp;"–"&amp;AB151*100</f>
        <v>&gt;5–10</v>
      </c>
      <c r="Q151" s="276" t="str">
        <f>+"&gt;"&amp;AB151*100&amp;"–"&amp;AD151*100</f>
        <v>&gt;10–20</v>
      </c>
      <c r="R151" s="125" t="str">
        <f>+"&gt;"&amp;AD151*100</f>
        <v>&gt;20</v>
      </c>
      <c r="S151" s="125"/>
      <c r="T151" s="125"/>
      <c r="U151" s="129" t="s">
        <v>41</v>
      </c>
      <c r="V151" s="181"/>
      <c r="W151" s="185"/>
      <c r="X151" s="158">
        <v>3.5000000000000003E-2</v>
      </c>
      <c r="Y151" s="92">
        <v>0.5</v>
      </c>
      <c r="Z151" s="158">
        <v>0.05</v>
      </c>
      <c r="AA151" s="183">
        <v>1</v>
      </c>
      <c r="AB151" s="158">
        <v>0.1</v>
      </c>
      <c r="AC151" s="183">
        <v>1.5</v>
      </c>
      <c r="AD151" s="158">
        <v>0.2</v>
      </c>
      <c r="AE151" s="183">
        <v>2</v>
      </c>
      <c r="AF151" s="158"/>
      <c r="AG151" s="183"/>
      <c r="AH151" s="186"/>
      <c r="AI151" s="183"/>
      <c r="AJ151" s="68"/>
      <c r="AK151" s="32"/>
      <c r="AL151" s="32"/>
      <c r="AM151" s="32"/>
      <c r="AN151" s="32"/>
    </row>
    <row r="152" spans="1:40" s="224" customFormat="1" ht="15.95" customHeight="1">
      <c r="A152" s="256">
        <v>10.8</v>
      </c>
      <c r="B152" s="250">
        <v>0</v>
      </c>
      <c r="C152" s="511" t="s">
        <v>409</v>
      </c>
      <c r="D152" s="511"/>
      <c r="E152" s="511"/>
      <c r="F152" s="511"/>
      <c r="G152" s="511"/>
      <c r="H152" s="511"/>
      <c r="I152" s="511"/>
      <c r="J152" s="511"/>
      <c r="K152" s="511"/>
      <c r="L152" s="511"/>
      <c r="M152" s="285"/>
      <c r="N152" s="226"/>
      <c r="O152" s="280"/>
      <c r="P152" s="276"/>
      <c r="Q152" s="276"/>
      <c r="R152" s="276"/>
      <c r="S152" s="276"/>
      <c r="T152" s="276"/>
      <c r="U152" s="277"/>
      <c r="V152" s="323"/>
      <c r="W152" s="328"/>
      <c r="X152" s="305"/>
      <c r="Y152" s="253"/>
      <c r="Z152" s="305"/>
      <c r="AA152" s="325"/>
      <c r="AB152" s="305"/>
      <c r="AC152" s="325"/>
      <c r="AD152" s="329"/>
      <c r="AE152" s="325"/>
      <c r="AF152" s="329"/>
      <c r="AG152" s="325"/>
      <c r="AH152" s="329"/>
      <c r="AI152" s="325"/>
    </row>
    <row r="153" spans="1:40" s="224" customFormat="1" ht="15.95" customHeight="1">
      <c r="A153" s="222"/>
      <c r="B153" s="109" t="s">
        <v>2</v>
      </c>
      <c r="C153" s="300">
        <f>+IF(B152&gt;0,B152/offene_Ackerfläche,0)</f>
        <v>0</v>
      </c>
      <c r="D153" s="224" t="s">
        <v>42</v>
      </c>
      <c r="M153" s="333">
        <f>+IF(C153&gt;AD153,AE153,IF(C153&gt;AB153,AC153,IF(C153&gt;Z153,AA153,IF(C153&gt;=X153,Y153,0))))</f>
        <v>0</v>
      </c>
      <c r="O153" s="280" t="str">
        <f>+X153*100&amp;"–"&amp;Z153*100</f>
        <v>5–10</v>
      </c>
      <c r="P153" s="276" t="str">
        <f>+"&gt;"&amp;Z153*100&amp;"–"&amp;AB153*100</f>
        <v>&gt;10–30</v>
      </c>
      <c r="Q153" s="276" t="str">
        <f>+"&gt;"&amp;AB153*100&amp;"–"&amp;AD153*100</f>
        <v>&gt;30–60</v>
      </c>
      <c r="R153" s="276" t="str">
        <f>+"&gt;"&amp;AD153*100</f>
        <v>&gt;60</v>
      </c>
      <c r="S153" s="276"/>
      <c r="T153" s="276"/>
      <c r="U153" s="277" t="s">
        <v>41</v>
      </c>
      <c r="V153" s="323"/>
      <c r="W153" s="321"/>
      <c r="X153" s="305">
        <v>0.05</v>
      </c>
      <c r="Y153" s="253">
        <v>0.5</v>
      </c>
      <c r="Z153" s="305">
        <v>0.1</v>
      </c>
      <c r="AA153" s="325">
        <v>1</v>
      </c>
      <c r="AB153" s="305">
        <v>0.3</v>
      </c>
      <c r="AC153" s="325">
        <v>1.5</v>
      </c>
      <c r="AD153" s="305">
        <v>0.6</v>
      </c>
      <c r="AE153" s="325">
        <v>2</v>
      </c>
      <c r="AF153" s="252"/>
      <c r="AG153" s="253"/>
      <c r="AH153" s="252"/>
      <c r="AI153" s="253"/>
    </row>
    <row r="154" spans="1:40" s="224" customFormat="1" ht="15.75" hidden="1" customHeight="1">
      <c r="A154" s="256">
        <v>10.9</v>
      </c>
      <c r="B154" s="250">
        <v>0</v>
      </c>
      <c r="C154" s="526" t="s">
        <v>323</v>
      </c>
      <c r="D154" s="526"/>
      <c r="E154" s="526"/>
      <c r="F154" s="526"/>
      <c r="G154" s="526"/>
      <c r="H154" s="526"/>
      <c r="I154" s="526"/>
      <c r="J154" s="526"/>
      <c r="K154" s="526"/>
      <c r="L154" s="526"/>
      <c r="M154" s="285"/>
      <c r="N154" s="226"/>
      <c r="O154" s="280"/>
      <c r="P154" s="276"/>
      <c r="Q154" s="276"/>
      <c r="R154" s="276"/>
      <c r="S154" s="276"/>
      <c r="T154" s="276"/>
      <c r="U154" s="277"/>
      <c r="V154" s="323"/>
      <c r="W154" s="328"/>
      <c r="X154" s="305"/>
      <c r="Y154" s="253"/>
      <c r="Z154" s="305"/>
      <c r="AA154" s="325"/>
      <c r="AB154" s="305"/>
      <c r="AC154" s="325"/>
      <c r="AD154" s="329"/>
      <c r="AE154" s="325"/>
      <c r="AF154" s="329"/>
      <c r="AG154" s="325"/>
      <c r="AH154" s="329"/>
      <c r="AI154" s="325"/>
      <c r="AJ154" s="224" t="s">
        <v>476</v>
      </c>
    </row>
    <row r="155" spans="1:40" s="224" customFormat="1" ht="15.75" hidden="1" customHeight="1">
      <c r="A155" s="222"/>
      <c r="B155" s="109" t="s">
        <v>2</v>
      </c>
      <c r="C155" s="302">
        <f>+IF(B154&gt;0,B154/offene_Ackerfläche,0)</f>
        <v>0</v>
      </c>
      <c r="D155" s="224" t="s">
        <v>42</v>
      </c>
      <c r="M155" s="333">
        <f>+IF(C155&gt;AD155,AE155,IF(C155&gt;AB155,AC155,IF(C155&gt;Z155,AA155,IF(C155&gt;=X155,Y155,0))))</f>
        <v>0</v>
      </c>
      <c r="O155" s="280" t="str">
        <f>+X155*100&amp;"–"&amp;Z155*100</f>
        <v>5–10</v>
      </c>
      <c r="P155" s="276" t="str">
        <f>+"&gt;"&amp;Z155*100&amp;"–"&amp;AB155*100</f>
        <v>&gt;10–30</v>
      </c>
      <c r="Q155" s="276" t="str">
        <f>+"&gt;"&amp;AB155*100&amp;"–"&amp;AD155*100</f>
        <v>&gt;30–60</v>
      </c>
      <c r="R155" s="276" t="str">
        <f>+"&gt;"&amp;AD155*100</f>
        <v>&gt;60</v>
      </c>
      <c r="S155" s="276"/>
      <c r="T155" s="276"/>
      <c r="U155" s="277" t="s">
        <v>41</v>
      </c>
      <c r="V155" s="323"/>
      <c r="W155" s="321"/>
      <c r="X155" s="305">
        <v>0.05</v>
      </c>
      <c r="Y155" s="253">
        <v>0.5</v>
      </c>
      <c r="Z155" s="305">
        <v>0.1</v>
      </c>
      <c r="AA155" s="325">
        <v>1</v>
      </c>
      <c r="AB155" s="305">
        <v>0.3</v>
      </c>
      <c r="AC155" s="325">
        <v>1.5</v>
      </c>
      <c r="AD155" s="305">
        <v>0.6</v>
      </c>
      <c r="AE155" s="325">
        <v>2</v>
      </c>
      <c r="AF155" s="252"/>
      <c r="AG155" s="253"/>
      <c r="AH155" s="252"/>
      <c r="AI155" s="253"/>
    </row>
    <row r="156" spans="1:40" ht="6" customHeight="1">
      <c r="D156" s="232"/>
      <c r="E156" s="232"/>
      <c r="F156" s="232"/>
      <c r="G156" s="232"/>
      <c r="H156" s="232"/>
      <c r="M156" s="330"/>
      <c r="N156" s="233"/>
      <c r="O156" s="276"/>
      <c r="P156" s="276"/>
      <c r="Q156" s="276"/>
      <c r="R156" s="276"/>
      <c r="S156" s="276"/>
      <c r="T156" s="276"/>
      <c r="U156" s="286"/>
      <c r="V156" s="323"/>
    </row>
    <row r="157" spans="1:40" s="224" customFormat="1" ht="15.95" customHeight="1">
      <c r="A157" s="222"/>
      <c r="B157" s="248" t="s">
        <v>180</v>
      </c>
      <c r="C157" s="109"/>
      <c r="D157" s="302"/>
      <c r="M157" s="285">
        <f>SUM(M131:M156)</f>
        <v>0</v>
      </c>
      <c r="N157" s="226"/>
      <c r="O157" s="280"/>
      <c r="P157" s="276"/>
      <c r="Q157" s="276"/>
      <c r="R157" s="276"/>
      <c r="S157" s="276"/>
      <c r="T157" s="276"/>
      <c r="U157" s="331"/>
      <c r="V157" s="323"/>
      <c r="W157" s="321"/>
      <c r="X157" s="305"/>
      <c r="Y157" s="253"/>
      <c r="Z157" s="305"/>
      <c r="AA157" s="325"/>
      <c r="AB157" s="305"/>
      <c r="AC157" s="325"/>
      <c r="AD157" s="305"/>
      <c r="AE157" s="325"/>
      <c r="AF157" s="252"/>
      <c r="AG157" s="253"/>
      <c r="AH157" s="252"/>
      <c r="AI157" s="253"/>
    </row>
    <row r="158" spans="1:40" s="224" customFormat="1" ht="15.95" customHeight="1">
      <c r="A158" s="222"/>
      <c r="B158" s="224" t="s">
        <v>50</v>
      </c>
      <c r="C158" s="109"/>
      <c r="G158" s="302">
        <f>+offene_Ackerfläche/LN</f>
        <v>0</v>
      </c>
      <c r="M158" s="285"/>
      <c r="N158" s="226"/>
      <c r="O158" s="276"/>
      <c r="P158" s="276"/>
      <c r="Q158" s="276"/>
      <c r="R158" s="276"/>
      <c r="S158" s="276"/>
      <c r="T158" s="276"/>
      <c r="U158" s="277"/>
      <c r="V158" s="323"/>
      <c r="W158" s="321"/>
      <c r="X158" s="324"/>
      <c r="Y158" s="253"/>
      <c r="Z158" s="324"/>
      <c r="AA158" s="253"/>
      <c r="AB158" s="324"/>
      <c r="AC158" s="253"/>
      <c r="AD158" s="252"/>
      <c r="AE158" s="253"/>
      <c r="AF158" s="252"/>
      <c r="AG158" s="253"/>
      <c r="AH158" s="252"/>
      <c r="AI158" s="253"/>
    </row>
    <row r="159" spans="1:40" ht="6" customHeight="1">
      <c r="D159" s="232"/>
      <c r="E159" s="232"/>
      <c r="F159" s="232"/>
      <c r="G159" s="232"/>
      <c r="H159" s="232"/>
      <c r="N159" s="233"/>
      <c r="O159" s="276"/>
      <c r="P159" s="276"/>
      <c r="Q159" s="276"/>
      <c r="R159" s="276"/>
      <c r="S159" s="276"/>
      <c r="T159" s="276"/>
      <c r="U159" s="286"/>
    </row>
    <row r="160" spans="1:40" s="332" customFormat="1" ht="20.100000000000001" customHeight="1">
      <c r="A160" s="271" t="s">
        <v>72</v>
      </c>
      <c r="B160" s="272"/>
      <c r="C160" s="271"/>
      <c r="D160" s="272"/>
      <c r="E160" s="272"/>
      <c r="F160" s="272"/>
      <c r="G160" s="272"/>
      <c r="H160" s="272"/>
      <c r="I160" s="272"/>
      <c r="J160" s="272"/>
      <c r="K160" s="273"/>
      <c r="L160" s="273"/>
      <c r="N160" s="318">
        <f>+M157*G158</f>
        <v>0</v>
      </c>
      <c r="O160" s="320"/>
      <c r="P160" s="320"/>
      <c r="Q160" s="320"/>
      <c r="R160" s="320"/>
      <c r="S160" s="320"/>
      <c r="T160" s="320"/>
      <c r="V160" s="234"/>
      <c r="W160" s="234"/>
      <c r="X160" s="229"/>
      <c r="Y160" s="230"/>
      <c r="Z160" s="229"/>
      <c r="AA160" s="230"/>
      <c r="AB160" s="229"/>
      <c r="AC160" s="230"/>
      <c r="AD160" s="229"/>
      <c r="AE160" s="230"/>
      <c r="AF160" s="229"/>
      <c r="AG160" s="230"/>
      <c r="AH160" s="229"/>
      <c r="AI160" s="230"/>
    </row>
    <row r="161" spans="1:79" ht="6" customHeight="1">
      <c r="D161" s="232"/>
      <c r="E161" s="232"/>
      <c r="F161" s="232"/>
      <c r="G161" s="232"/>
      <c r="H161" s="232"/>
      <c r="N161" s="233"/>
      <c r="O161" s="276"/>
      <c r="P161" s="276"/>
      <c r="Q161" s="276"/>
      <c r="R161" s="276"/>
      <c r="S161" s="276"/>
      <c r="T161" s="276"/>
      <c r="U161" s="286"/>
    </row>
    <row r="162" spans="1:79" s="272" customFormat="1" ht="20.100000000000001" customHeight="1" outlineLevel="1">
      <c r="A162" s="271" t="s">
        <v>66</v>
      </c>
      <c r="C162" s="271"/>
      <c r="M162" s="274" t="s">
        <v>9</v>
      </c>
      <c r="N162" s="274" t="s">
        <v>71</v>
      </c>
      <c r="O162" s="275" t="s">
        <v>16</v>
      </c>
      <c r="P162" s="275" t="s">
        <v>10</v>
      </c>
      <c r="Q162" s="275" t="s">
        <v>17</v>
      </c>
      <c r="R162" s="275" t="s">
        <v>11</v>
      </c>
      <c r="S162" s="275"/>
      <c r="T162" s="275"/>
      <c r="U162" s="275" t="s">
        <v>15</v>
      </c>
      <c r="V162" s="234"/>
      <c r="W162" s="234"/>
      <c r="X162" s="229"/>
      <c r="Y162" s="230"/>
      <c r="Z162" s="229"/>
      <c r="AA162" s="230"/>
      <c r="AB162" s="229"/>
      <c r="AC162" s="230"/>
      <c r="AD162" s="229"/>
      <c r="AE162" s="230"/>
      <c r="AF162" s="229"/>
      <c r="AG162" s="230"/>
      <c r="AH162" s="229"/>
      <c r="AI162" s="230"/>
      <c r="AJ162" s="292"/>
      <c r="AK162" s="292"/>
      <c r="AL162" s="292"/>
      <c r="AM162" s="292"/>
      <c r="AN162" s="292"/>
      <c r="AO162" s="292"/>
      <c r="AP162" s="292"/>
      <c r="AQ162" s="292"/>
      <c r="AR162" s="292"/>
      <c r="AS162" s="292"/>
      <c r="AT162" s="292"/>
      <c r="AU162" s="292"/>
      <c r="AV162" s="292"/>
      <c r="AW162" s="292"/>
      <c r="AX162" s="292"/>
      <c r="AY162" s="292"/>
      <c r="AZ162" s="292"/>
      <c r="BA162" s="292"/>
      <c r="BB162" s="292"/>
      <c r="BC162" s="292"/>
      <c r="BD162" s="292"/>
      <c r="BE162" s="292"/>
      <c r="BF162" s="292"/>
      <c r="BG162" s="292"/>
      <c r="BH162" s="292"/>
      <c r="BI162" s="292"/>
      <c r="BJ162" s="292"/>
      <c r="BK162" s="292"/>
      <c r="BL162" s="292"/>
      <c r="BM162" s="292"/>
      <c r="BN162" s="292"/>
      <c r="BO162" s="292"/>
      <c r="BP162" s="292"/>
      <c r="BQ162" s="292"/>
      <c r="BR162" s="292"/>
      <c r="BS162" s="292"/>
      <c r="BT162" s="292"/>
      <c r="BU162" s="292"/>
      <c r="BV162" s="292"/>
      <c r="BW162" s="292"/>
      <c r="BX162" s="292"/>
      <c r="BY162" s="292"/>
      <c r="BZ162" s="292"/>
      <c r="CA162" s="292"/>
    </row>
    <row r="163" spans="1:79" ht="6" customHeight="1" outlineLevel="1">
      <c r="D163" s="232"/>
      <c r="E163" s="232"/>
      <c r="F163" s="232"/>
      <c r="G163" s="232"/>
      <c r="H163" s="232"/>
      <c r="N163" s="233"/>
      <c r="O163" s="276"/>
      <c r="P163" s="276"/>
      <c r="Q163" s="276"/>
      <c r="R163" s="276"/>
      <c r="S163" s="276"/>
      <c r="T163" s="276"/>
      <c r="U163" s="286"/>
    </row>
    <row r="164" spans="1:79" s="224" customFormat="1" ht="15.95" customHeight="1" outlineLevel="1">
      <c r="A164" s="222">
        <v>11</v>
      </c>
      <c r="B164" s="248" t="s">
        <v>97</v>
      </c>
      <c r="D164" s="248"/>
      <c r="E164" s="248"/>
      <c r="F164" s="248"/>
      <c r="G164" s="248"/>
      <c r="H164" s="248"/>
      <c r="M164" s="333"/>
      <c r="N164" s="226"/>
      <c r="O164" s="276"/>
      <c r="P164" s="276"/>
      <c r="Q164" s="276"/>
      <c r="R164" s="276"/>
      <c r="S164" s="276"/>
      <c r="T164" s="276"/>
      <c r="U164" s="277"/>
      <c r="V164" s="323"/>
      <c r="W164" s="321"/>
      <c r="X164" s="324"/>
      <c r="Y164" s="253"/>
      <c r="Z164" s="324"/>
      <c r="AA164" s="253"/>
      <c r="AB164" s="324"/>
      <c r="AC164" s="253"/>
      <c r="AD164" s="252"/>
      <c r="AE164" s="253"/>
      <c r="AF164" s="252"/>
      <c r="AG164" s="253"/>
      <c r="AH164" s="252"/>
      <c r="AI164" s="253"/>
    </row>
    <row r="165" spans="1:79" s="224" customFormat="1" ht="15.95" customHeight="1" outlineLevel="1">
      <c r="A165" s="222">
        <v>11.1</v>
      </c>
      <c r="B165" s="192">
        <v>0</v>
      </c>
      <c r="C165" s="224" t="s">
        <v>46</v>
      </c>
      <c r="M165" s="333"/>
      <c r="N165" s="226"/>
      <c r="O165" s="276"/>
      <c r="P165" s="276"/>
      <c r="Q165" s="276"/>
      <c r="R165" s="276"/>
      <c r="S165" s="276"/>
      <c r="T165" s="276"/>
      <c r="U165" s="277"/>
      <c r="V165" s="323"/>
      <c r="W165" s="321"/>
      <c r="X165" s="324"/>
      <c r="Y165" s="253"/>
      <c r="Z165" s="324"/>
      <c r="AA165" s="253"/>
      <c r="AB165" s="324"/>
      <c r="AC165" s="253"/>
      <c r="AD165" s="252"/>
      <c r="AE165" s="253"/>
      <c r="AF165" s="252"/>
      <c r="AG165" s="253"/>
      <c r="AH165" s="252"/>
      <c r="AI165" s="253"/>
    </row>
    <row r="166" spans="1:79" s="224" customFormat="1" ht="15.95" customHeight="1" outlineLevel="1">
      <c r="A166" s="222"/>
      <c r="B166" s="109" t="s">
        <v>2</v>
      </c>
      <c r="C166" s="300">
        <f>+IF(DGL_Streue&gt;0,B165/DGL_Streue,0)</f>
        <v>0</v>
      </c>
      <c r="D166" s="224" t="s">
        <v>40</v>
      </c>
      <c r="M166" s="333">
        <f>IF(C166&gt;AD166,AE166,IF(C166&gt;AB166,AC166,IF(C166&gt;Z166,AA166,IF(C166&gt;=X166,Y166,0))))</f>
        <v>0</v>
      </c>
      <c r="N166" s="226"/>
      <c r="O166" s="280" t="str">
        <f>+X166*100&amp;"–"&amp;Z166*100</f>
        <v>4–8</v>
      </c>
      <c r="P166" s="276" t="str">
        <f>+"&gt;"&amp;Z166*100&amp;"–"&amp;AB166*100</f>
        <v>&gt;8–12</v>
      </c>
      <c r="Q166" s="276" t="str">
        <f>+"&gt;"&amp;AB166*100&amp;"–"&amp;AD166*100</f>
        <v>&gt;12–16</v>
      </c>
      <c r="R166" s="276" t="str">
        <f>+"&gt;"&amp;AD166*100</f>
        <v>&gt;16</v>
      </c>
      <c r="S166" s="276"/>
      <c r="T166" s="276"/>
      <c r="U166" s="277" t="s">
        <v>41</v>
      </c>
      <c r="V166" s="323"/>
      <c r="W166" s="328"/>
      <c r="X166" s="324">
        <v>0.04</v>
      </c>
      <c r="Y166" s="253">
        <v>0.5</v>
      </c>
      <c r="Z166" s="324">
        <v>0.08</v>
      </c>
      <c r="AA166" s="325">
        <v>1</v>
      </c>
      <c r="AB166" s="324">
        <v>0.12</v>
      </c>
      <c r="AC166" s="325">
        <v>1.5</v>
      </c>
      <c r="AD166" s="305">
        <v>0.16</v>
      </c>
      <c r="AE166" s="253">
        <v>2</v>
      </c>
      <c r="AF166" s="305">
        <v>0.25</v>
      </c>
      <c r="AG166" s="253">
        <v>2.5</v>
      </c>
      <c r="AH166" s="305">
        <v>0.3</v>
      </c>
      <c r="AI166" s="253">
        <v>3</v>
      </c>
    </row>
    <row r="167" spans="1:79" s="224" customFormat="1" ht="15.95" customHeight="1" outlineLevel="1">
      <c r="A167" s="222">
        <v>11.2</v>
      </c>
      <c r="B167" s="192">
        <v>0</v>
      </c>
      <c r="C167" s="224" t="s">
        <v>98</v>
      </c>
      <c r="M167" s="285"/>
      <c r="N167" s="226"/>
      <c r="O167" s="280"/>
      <c r="P167" s="276"/>
      <c r="Q167" s="276"/>
      <c r="R167" s="276"/>
      <c r="S167" s="276"/>
      <c r="T167" s="276"/>
      <c r="U167" s="277"/>
      <c r="V167" s="323"/>
      <c r="W167" s="321"/>
      <c r="X167" s="324"/>
      <c r="Y167" s="253"/>
      <c r="Z167" s="324"/>
      <c r="AA167" s="253"/>
      <c r="AB167" s="324"/>
      <c r="AC167" s="253"/>
      <c r="AD167" s="305"/>
      <c r="AE167" s="253"/>
      <c r="AF167" s="252"/>
      <c r="AG167" s="253"/>
      <c r="AH167" s="252"/>
      <c r="AI167" s="253"/>
    </row>
    <row r="168" spans="1:79" s="224" customFormat="1" ht="15.95" customHeight="1" outlineLevel="1">
      <c r="A168" s="222"/>
      <c r="B168" s="109" t="s">
        <v>2</v>
      </c>
      <c r="C168" s="300">
        <f>+IF(DGL_Streue&gt;0,B167/DGL_Streue,0)</f>
        <v>0</v>
      </c>
      <c r="D168" s="224" t="s">
        <v>40</v>
      </c>
      <c r="M168" s="333">
        <f>IF(C168&gt;AD168,AE168,IF(C168&gt;AB168,AC168,IF(C168&gt;Z168,AA168,IF(C168&gt;=X168,Y168,0))))</f>
        <v>0</v>
      </c>
      <c r="N168" s="226"/>
      <c r="O168" s="280" t="str">
        <f>+X168*100&amp;"–"&amp;Z168*100</f>
        <v>9–12</v>
      </c>
      <c r="P168" s="276" t="str">
        <f>+"&gt;"&amp;Z168*100&amp;"–"&amp;AB168*100</f>
        <v>&gt;12–15</v>
      </c>
      <c r="Q168" s="276" t="str">
        <f>+"&gt;"&amp;AB168*100&amp;"–"&amp;AD168*100</f>
        <v>&gt;15–18</v>
      </c>
      <c r="R168" s="276" t="str">
        <f>+"&gt;"&amp;AD168*100</f>
        <v>&gt;18</v>
      </c>
      <c r="S168" s="276"/>
      <c r="T168" s="276"/>
      <c r="U168" s="277" t="s">
        <v>41</v>
      </c>
      <c r="V168" s="323"/>
      <c r="W168" s="328"/>
      <c r="X168" s="324">
        <v>0.09</v>
      </c>
      <c r="Y168" s="253">
        <v>0.5</v>
      </c>
      <c r="Z168" s="324">
        <v>0.12</v>
      </c>
      <c r="AA168" s="325">
        <v>1</v>
      </c>
      <c r="AB168" s="324">
        <v>0.15</v>
      </c>
      <c r="AC168" s="325">
        <v>1.5</v>
      </c>
      <c r="AD168" s="305">
        <v>0.18</v>
      </c>
      <c r="AE168" s="253">
        <v>2</v>
      </c>
      <c r="AF168" s="305">
        <v>0.3</v>
      </c>
      <c r="AG168" s="253">
        <v>2.5</v>
      </c>
      <c r="AH168" s="252"/>
      <c r="AI168" s="253"/>
    </row>
    <row r="169" spans="1:79" s="224" customFormat="1" ht="15.95" customHeight="1" outlineLevel="1">
      <c r="A169" s="222">
        <v>11.3</v>
      </c>
      <c r="B169" s="192">
        <v>0</v>
      </c>
      <c r="C169" s="526" t="s">
        <v>185</v>
      </c>
      <c r="D169" s="526"/>
      <c r="E169" s="526"/>
      <c r="F169" s="526"/>
      <c r="G169" s="526"/>
      <c r="H169" s="526"/>
      <c r="I169" s="526"/>
      <c r="J169" s="526"/>
      <c r="K169" s="526"/>
      <c r="M169" s="285"/>
      <c r="N169" s="226"/>
      <c r="O169" s="280"/>
      <c r="P169" s="276"/>
      <c r="Q169" s="276"/>
      <c r="R169" s="276"/>
      <c r="S169" s="276"/>
      <c r="T169" s="276"/>
      <c r="U169" s="277"/>
      <c r="V169" s="323"/>
      <c r="W169" s="321"/>
      <c r="X169" s="324"/>
      <c r="Y169" s="253"/>
      <c r="Z169" s="324"/>
      <c r="AA169" s="253"/>
      <c r="AB169" s="324"/>
      <c r="AC169" s="253"/>
      <c r="AD169" s="305"/>
      <c r="AE169" s="253"/>
      <c r="AF169" s="252"/>
      <c r="AG169" s="253"/>
      <c r="AH169" s="252"/>
      <c r="AI169" s="253"/>
    </row>
    <row r="170" spans="1:79" s="224" customFormat="1" ht="15.95" customHeight="1">
      <c r="A170" s="222"/>
      <c r="B170" s="109" t="s">
        <v>2</v>
      </c>
      <c r="C170" s="300">
        <f>+IF(DGL_Streue&gt;0,B169/DGL_Streue,0)</f>
        <v>0</v>
      </c>
      <c r="D170" s="224" t="s">
        <v>40</v>
      </c>
      <c r="M170" s="333">
        <f>+IF(C170&gt;AD170,AE170,IF(C170&gt;AB170,AC170,IF(C170&gt;Z170,AA170,IF(C170&gt;=X170,Y170,0))))</f>
        <v>0</v>
      </c>
      <c r="O170" s="280" t="str">
        <f>+X170*100&amp;"–"&amp;Z170*100</f>
        <v>1–2</v>
      </c>
      <c r="P170" s="276" t="str">
        <f>+"&gt;"&amp;Z170*100&amp;"–"&amp;AB170*100</f>
        <v>&gt;2–3</v>
      </c>
      <c r="Q170" s="276" t="str">
        <f>+"&gt;"&amp;AB170*100&amp;"–"&amp;AD170*100</f>
        <v>&gt;3–4</v>
      </c>
      <c r="R170" s="276" t="str">
        <f>+"&gt;"&amp;AD170*100</f>
        <v>&gt;4</v>
      </c>
      <c r="S170" s="276"/>
      <c r="T170" s="276"/>
      <c r="U170" s="277" t="s">
        <v>41</v>
      </c>
      <c r="V170" s="323"/>
      <c r="W170" s="328"/>
      <c r="X170" s="324">
        <v>0.01</v>
      </c>
      <c r="Y170" s="253">
        <v>0.5</v>
      </c>
      <c r="Z170" s="324">
        <v>0.02</v>
      </c>
      <c r="AA170" s="325">
        <v>1</v>
      </c>
      <c r="AB170" s="324">
        <v>0.03</v>
      </c>
      <c r="AC170" s="325">
        <v>1.5</v>
      </c>
      <c r="AD170" s="305">
        <v>0.04</v>
      </c>
      <c r="AE170" s="253">
        <v>2</v>
      </c>
      <c r="AF170" s="305"/>
      <c r="AG170" s="253"/>
      <c r="AH170" s="305"/>
      <c r="AI170" s="253"/>
    </row>
    <row r="171" spans="1:79" s="224" customFormat="1" ht="15.95" customHeight="1" outlineLevel="1">
      <c r="A171" s="222">
        <v>11.4</v>
      </c>
      <c r="B171" s="192">
        <v>0</v>
      </c>
      <c r="C171" s="224" t="s">
        <v>186</v>
      </c>
      <c r="M171" s="285"/>
      <c r="N171" s="226"/>
      <c r="O171" s="276"/>
      <c r="P171" s="276"/>
      <c r="Q171" s="276"/>
      <c r="R171" s="276"/>
      <c r="S171" s="276"/>
      <c r="T171" s="276"/>
      <c r="U171" s="277"/>
      <c r="V171" s="323"/>
      <c r="W171" s="321"/>
      <c r="X171" s="324"/>
      <c r="Y171" s="253"/>
      <c r="Z171" s="324"/>
      <c r="AA171" s="253"/>
      <c r="AB171" s="324"/>
      <c r="AC171" s="253"/>
      <c r="AD171" s="305"/>
      <c r="AE171" s="253"/>
      <c r="AF171" s="252"/>
      <c r="AG171" s="253"/>
      <c r="AH171" s="252"/>
      <c r="AI171" s="253"/>
    </row>
    <row r="172" spans="1:79" s="224" customFormat="1" ht="15.95" customHeight="1" outlineLevel="1">
      <c r="A172" s="222"/>
      <c r="B172" s="109" t="s">
        <v>2</v>
      </c>
      <c r="C172" s="300">
        <f>+IF(DGL_Streue&gt;0,B171/DGL_Streue,0)</f>
        <v>0</v>
      </c>
      <c r="D172" s="224" t="s">
        <v>40</v>
      </c>
      <c r="M172" s="333">
        <f>+IF(C172&gt;AD172,AE172,IF(C172&gt;AB172,AC172,IF(C172&gt;Z172,AA172,IF(C172&gt;=X172,Y172,0))))</f>
        <v>0</v>
      </c>
      <c r="N172" s="226"/>
      <c r="O172" s="280" t="str">
        <f>+X172*100&amp;"–"&amp;Z172*100</f>
        <v>1–2</v>
      </c>
      <c r="P172" s="276" t="str">
        <f>+"&gt;"&amp;Z172*100&amp;"–"&amp;AB172*100</f>
        <v>&gt;2–3</v>
      </c>
      <c r="Q172" s="276" t="str">
        <f>+"&gt;"&amp;AB172*100&amp;"–"&amp;AD172*100</f>
        <v>&gt;3–4</v>
      </c>
      <c r="R172" s="276" t="str">
        <f>+"&gt;"&amp;AD172*100</f>
        <v>&gt;4</v>
      </c>
      <c r="S172" s="276"/>
      <c r="T172" s="276"/>
      <c r="U172" s="277" t="s">
        <v>41</v>
      </c>
      <c r="V172" s="323"/>
      <c r="W172" s="328"/>
      <c r="X172" s="324">
        <v>0.01</v>
      </c>
      <c r="Y172" s="253">
        <v>0.5</v>
      </c>
      <c r="Z172" s="324">
        <v>0.02</v>
      </c>
      <c r="AA172" s="325">
        <v>1</v>
      </c>
      <c r="AB172" s="324">
        <v>0.03</v>
      </c>
      <c r="AC172" s="325">
        <v>1.5</v>
      </c>
      <c r="AD172" s="305">
        <v>0.04</v>
      </c>
      <c r="AE172" s="253">
        <v>2</v>
      </c>
      <c r="AF172" s="252"/>
      <c r="AG172" s="253"/>
      <c r="AH172" s="252"/>
      <c r="AI172" s="253"/>
    </row>
    <row r="173" spans="1:79" ht="6.6" customHeight="1" outlineLevel="1">
      <c r="D173" s="232"/>
      <c r="E173" s="232"/>
      <c r="F173" s="232"/>
      <c r="G173" s="232"/>
      <c r="H173" s="232"/>
      <c r="M173" s="330"/>
      <c r="N173" s="233"/>
      <c r="O173" s="276"/>
      <c r="P173" s="276"/>
      <c r="Q173" s="276"/>
      <c r="R173" s="276"/>
      <c r="S173" s="276"/>
      <c r="T173" s="276"/>
      <c r="U173" s="286"/>
    </row>
    <row r="174" spans="1:79" s="224" customFormat="1" ht="15.95" customHeight="1" outlineLevel="1">
      <c r="A174" s="222">
        <v>12</v>
      </c>
      <c r="B174" s="248" t="s">
        <v>322</v>
      </c>
      <c r="E174" s="248"/>
      <c r="F174" s="248"/>
      <c r="G174" s="248"/>
      <c r="H174" s="248"/>
      <c r="M174" s="285"/>
      <c r="N174" s="226"/>
      <c r="O174" s="276"/>
      <c r="P174" s="276"/>
      <c r="Q174" s="276"/>
      <c r="R174" s="276"/>
      <c r="S174" s="276"/>
      <c r="T174" s="276"/>
      <c r="U174" s="277"/>
      <c r="V174" s="323"/>
      <c r="W174" s="321"/>
      <c r="X174" s="324"/>
      <c r="Y174" s="253"/>
      <c r="Z174" s="324"/>
      <c r="AA174" s="253"/>
      <c r="AB174" s="324"/>
      <c r="AC174" s="253"/>
      <c r="AD174" s="305"/>
      <c r="AE174" s="253"/>
      <c r="AF174" s="252"/>
      <c r="AG174" s="253"/>
      <c r="AH174" s="252"/>
      <c r="AI174" s="253"/>
    </row>
    <row r="175" spans="1:79" s="224" customFormat="1" ht="15.95" customHeight="1" outlineLevel="1">
      <c r="A175" s="222">
        <v>12.1</v>
      </c>
      <c r="B175" s="151">
        <f>+DGL+B16-(G58+G59+G60+G68+G70)</f>
        <v>0</v>
      </c>
      <c r="C175" s="224" t="s">
        <v>321</v>
      </c>
      <c r="E175" s="248"/>
      <c r="F175" s="248"/>
      <c r="G175" s="248"/>
      <c r="H175" s="248"/>
      <c r="M175" s="285"/>
      <c r="N175" s="226"/>
      <c r="O175" s="276"/>
      <c r="P175" s="276"/>
      <c r="Q175" s="276"/>
      <c r="R175" s="276"/>
      <c r="S175" s="276"/>
      <c r="T175" s="276"/>
      <c r="U175" s="277"/>
      <c r="V175" s="323"/>
      <c r="W175" s="321"/>
      <c r="X175" s="324"/>
      <c r="Y175" s="253"/>
      <c r="Z175" s="324"/>
      <c r="AA175" s="253"/>
      <c r="AB175" s="324"/>
      <c r="AC175" s="253"/>
      <c r="AD175" s="305"/>
      <c r="AE175" s="253"/>
      <c r="AF175" s="252"/>
      <c r="AG175" s="253"/>
      <c r="AH175" s="252"/>
      <c r="AI175" s="253"/>
    </row>
    <row r="176" spans="1:79" s="224" customFormat="1" ht="15.95" customHeight="1" outlineLevel="1">
      <c r="A176" s="254" t="s">
        <v>43</v>
      </c>
      <c r="B176" s="192">
        <v>0</v>
      </c>
      <c r="C176" s="224" t="s">
        <v>48</v>
      </c>
      <c r="E176" s="248"/>
      <c r="F176" s="248"/>
      <c r="G176" s="248"/>
      <c r="H176" s="248"/>
      <c r="M176" s="285"/>
      <c r="N176" s="226"/>
      <c r="O176" s="276"/>
      <c r="P176" s="276"/>
      <c r="Q176" s="276"/>
      <c r="R176" s="276"/>
      <c r="S176" s="276"/>
      <c r="T176" s="276"/>
      <c r="U176" s="277"/>
      <c r="V176" s="323"/>
      <c r="W176" s="321"/>
      <c r="X176" s="324"/>
      <c r="Y176" s="253"/>
      <c r="Z176" s="324"/>
      <c r="AA176" s="253"/>
      <c r="AB176" s="324"/>
      <c r="AC176" s="253"/>
      <c r="AD176" s="305"/>
      <c r="AE176" s="253"/>
      <c r="AF176" s="252"/>
      <c r="AG176" s="253"/>
      <c r="AH176" s="252"/>
      <c r="AI176" s="253"/>
    </row>
    <row r="177" spans="1:79" s="224" customFormat="1" ht="15.95" customHeight="1" outlineLevel="1">
      <c r="A177" s="222"/>
      <c r="B177" s="109" t="s">
        <v>2</v>
      </c>
      <c r="C177" s="300">
        <f>+IF(B175&gt;0,B176/B175,0)</f>
        <v>0</v>
      </c>
      <c r="D177" s="224" t="s">
        <v>45</v>
      </c>
      <c r="M177" s="333">
        <f>++IF(C177&gt;AD177,AE177,IF(C177&gt;AB177,AC177,IF(C177&gt;Z177,AA177,IF(C177&gt;=X177,Y177,))))</f>
        <v>0</v>
      </c>
      <c r="N177" s="226"/>
      <c r="O177" s="280" t="str">
        <f>+X177*100&amp;"–"&amp;Z177*100</f>
        <v>30–40</v>
      </c>
      <c r="P177" s="276" t="str">
        <f>+"&gt;"&amp;Z177*100&amp;"–"&amp;AB177*100</f>
        <v>&gt;40–50</v>
      </c>
      <c r="Q177" s="276" t="str">
        <f>+"&gt;"&amp;AB177*100&amp;"–"&amp;AD177*100</f>
        <v>&gt;50–60</v>
      </c>
      <c r="R177" s="276" t="str">
        <f>+"&gt;"&amp;AD177*100</f>
        <v>&gt;60</v>
      </c>
      <c r="S177" s="276"/>
      <c r="T177" s="276"/>
      <c r="U177" s="277" t="s">
        <v>41</v>
      </c>
      <c r="V177" s="323"/>
      <c r="W177" s="321"/>
      <c r="X177" s="324">
        <v>0.3</v>
      </c>
      <c r="Y177" s="253">
        <v>0.5</v>
      </c>
      <c r="Z177" s="324">
        <v>0.4</v>
      </c>
      <c r="AA177" s="253">
        <v>1</v>
      </c>
      <c r="AB177" s="324">
        <v>0.5</v>
      </c>
      <c r="AC177" s="253">
        <v>1.5</v>
      </c>
      <c r="AD177" s="324">
        <v>0.6</v>
      </c>
      <c r="AE177" s="253">
        <v>2</v>
      </c>
      <c r="AF177" s="252"/>
      <c r="AG177" s="253"/>
      <c r="AH177" s="252"/>
      <c r="AI177" s="253"/>
    </row>
    <row r="178" spans="1:79" s="224" customFormat="1" ht="15.95" customHeight="1" outlineLevel="1">
      <c r="A178" s="254" t="s">
        <v>44</v>
      </c>
      <c r="B178" s="192">
        <v>0</v>
      </c>
      <c r="C178" s="224" t="s">
        <v>46</v>
      </c>
      <c r="D178" s="302"/>
      <c r="M178" s="285"/>
      <c r="N178" s="226"/>
      <c r="O178" s="280"/>
      <c r="P178" s="276"/>
      <c r="Q178" s="276"/>
      <c r="R178" s="276"/>
      <c r="S178" s="276"/>
      <c r="T178" s="276"/>
      <c r="U178" s="277"/>
      <c r="V178" s="323"/>
      <c r="W178" s="321"/>
      <c r="X178" s="324"/>
      <c r="Y178" s="253"/>
      <c r="Z178" s="324"/>
      <c r="AA178" s="253"/>
      <c r="AB178" s="324"/>
      <c r="AC178" s="253"/>
      <c r="AD178" s="324"/>
      <c r="AE178" s="253"/>
      <c r="AF178" s="252"/>
      <c r="AG178" s="253"/>
      <c r="AH178" s="252"/>
      <c r="AI178" s="253"/>
    </row>
    <row r="179" spans="1:79" s="224" customFormat="1" ht="15.95" customHeight="1" outlineLevel="1">
      <c r="A179" s="222"/>
      <c r="B179" s="109" t="s">
        <v>2</v>
      </c>
      <c r="C179" s="300">
        <f>+IF(B175&gt;0,B178/B175,0)</f>
        <v>0</v>
      </c>
      <c r="D179" s="224" t="s">
        <v>45</v>
      </c>
      <c r="M179" s="333">
        <f>++IF(C179&gt;AD179,AE179,IF(C179&gt;AB179,AC179,IF(C179&gt;Z179,AA179,IF(C179&gt;=X179,Y179,))))</f>
        <v>0</v>
      </c>
      <c r="N179" s="226"/>
      <c r="O179" s="280" t="str">
        <f>+X179*100&amp;"–"&amp;Z179*100</f>
        <v>30–40</v>
      </c>
      <c r="P179" s="276" t="str">
        <f>+"&gt;"&amp;Z179*100&amp;"–"&amp;AB179*100</f>
        <v>&gt;40–50</v>
      </c>
      <c r="Q179" s="276" t="str">
        <f>+"&gt;"&amp;AB179*100&amp;"–"&amp;AD179*100</f>
        <v>&gt;50–60</v>
      </c>
      <c r="R179" s="276" t="str">
        <f>+"&gt;"&amp;AD179*100</f>
        <v>&gt;60</v>
      </c>
      <c r="S179" s="276"/>
      <c r="T179" s="276"/>
      <c r="U179" s="277" t="s">
        <v>41</v>
      </c>
      <c r="V179" s="323"/>
      <c r="W179" s="321"/>
      <c r="X179" s="324">
        <v>0.3</v>
      </c>
      <c r="Y179" s="253">
        <v>0.5</v>
      </c>
      <c r="Z179" s="324">
        <v>0.4</v>
      </c>
      <c r="AA179" s="253">
        <v>1</v>
      </c>
      <c r="AB179" s="324">
        <v>0.5</v>
      </c>
      <c r="AC179" s="253">
        <v>1.5</v>
      </c>
      <c r="AD179" s="324">
        <v>0.6</v>
      </c>
      <c r="AE179" s="253">
        <v>2</v>
      </c>
      <c r="AF179" s="252"/>
      <c r="AG179" s="253"/>
      <c r="AH179" s="252"/>
      <c r="AI179" s="253"/>
    </row>
    <row r="180" spans="1:79" s="224" customFormat="1" ht="15.95" customHeight="1">
      <c r="A180" s="254" t="s">
        <v>164</v>
      </c>
      <c r="B180" s="250">
        <v>0</v>
      </c>
      <c r="C180" s="526" t="s">
        <v>187</v>
      </c>
      <c r="D180" s="526"/>
      <c r="E180" s="526"/>
      <c r="F180" s="526"/>
      <c r="G180" s="526"/>
      <c r="H180" s="526"/>
      <c r="I180" s="526"/>
      <c r="J180" s="526"/>
      <c r="K180" s="526"/>
      <c r="M180" s="285"/>
      <c r="O180" s="280"/>
      <c r="P180" s="276"/>
      <c r="Q180" s="276"/>
      <c r="R180" s="276"/>
      <c r="S180" s="276"/>
      <c r="T180" s="276"/>
      <c r="U180" s="277"/>
      <c r="V180" s="323"/>
      <c r="W180" s="321"/>
      <c r="X180" s="324"/>
      <c r="Y180" s="253"/>
      <c r="Z180" s="324"/>
      <c r="AA180" s="253"/>
      <c r="AB180" s="324"/>
      <c r="AC180" s="253"/>
      <c r="AD180" s="324"/>
      <c r="AE180" s="253"/>
      <c r="AF180" s="252"/>
      <c r="AG180" s="253"/>
      <c r="AH180" s="252"/>
      <c r="AI180" s="253"/>
    </row>
    <row r="181" spans="1:79" s="224" customFormat="1" ht="15.95" customHeight="1">
      <c r="A181" s="222"/>
      <c r="B181" s="109" t="s">
        <v>2</v>
      </c>
      <c r="C181" s="300">
        <f>+IF(B175&gt;0,B180/B175,0)</f>
        <v>0</v>
      </c>
      <c r="D181" s="224" t="s">
        <v>45</v>
      </c>
      <c r="M181" s="333">
        <f>++IF(C181&gt;AD181,AE181,IF(C181&gt;AB181,AC181,IF(C181&gt;Z181,AA181,IF(C181&gt;=X181,Y181,))))</f>
        <v>0</v>
      </c>
      <c r="O181" s="280" t="str">
        <f>+X181*100&amp;"–"&amp;Z181*100</f>
        <v>12–18</v>
      </c>
      <c r="P181" s="276" t="str">
        <f>+"&gt;"&amp;Z181*100&amp;"–"&amp;AB181*100</f>
        <v>&gt;18–24</v>
      </c>
      <c r="Q181" s="276" t="str">
        <f>+"&gt;"&amp;AB181*100&amp;"–"&amp;AD181*100</f>
        <v>&gt;24–30</v>
      </c>
      <c r="R181" s="276" t="str">
        <f>+"&gt;"&amp;AD181*100</f>
        <v>&gt;30</v>
      </c>
      <c r="S181" s="276"/>
      <c r="T181" s="276"/>
      <c r="U181" s="277" t="s">
        <v>41</v>
      </c>
      <c r="V181" s="323"/>
      <c r="W181" s="321"/>
      <c r="X181" s="324">
        <v>0.12</v>
      </c>
      <c r="Y181" s="253">
        <v>0.5</v>
      </c>
      <c r="Z181" s="324">
        <v>0.18</v>
      </c>
      <c r="AA181" s="253">
        <v>1</v>
      </c>
      <c r="AB181" s="324">
        <v>0.24</v>
      </c>
      <c r="AC181" s="253">
        <v>1.5</v>
      </c>
      <c r="AD181" s="324">
        <v>0.3</v>
      </c>
      <c r="AE181" s="253">
        <v>2</v>
      </c>
      <c r="AF181" s="252"/>
      <c r="AG181" s="253"/>
      <c r="AH181" s="252"/>
      <c r="AI181" s="253"/>
    </row>
    <row r="182" spans="1:79" s="224" customFormat="1" hidden="1" outlineLevel="1">
      <c r="A182" s="222">
        <v>12.3</v>
      </c>
      <c r="B182" s="334">
        <v>0</v>
      </c>
      <c r="C182" s="224" t="s">
        <v>49</v>
      </c>
      <c r="M182" s="285"/>
      <c r="N182" s="226"/>
      <c r="O182" s="276"/>
      <c r="P182" s="280"/>
      <c r="Q182" s="276"/>
      <c r="R182" s="276"/>
      <c r="S182" s="276"/>
      <c r="T182" s="276"/>
      <c r="U182" s="277"/>
      <c r="V182" s="282"/>
      <c r="W182" s="283"/>
      <c r="X182" s="305"/>
      <c r="Y182" s="253"/>
      <c r="Z182" s="305"/>
      <c r="AA182" s="253"/>
      <c r="AB182" s="305"/>
      <c r="AC182" s="253"/>
      <c r="AD182" s="305"/>
      <c r="AE182" s="253"/>
      <c r="AF182" s="252"/>
      <c r="AG182" s="253"/>
      <c r="AH182" s="252"/>
      <c r="AI182" s="253"/>
    </row>
    <row r="183" spans="1:79" s="224" customFormat="1" hidden="1" outlineLevel="1">
      <c r="A183" s="222"/>
      <c r="B183" s="231"/>
      <c r="C183" s="109" t="s">
        <v>2</v>
      </c>
      <c r="D183" s="302">
        <f>+IF(B175&gt;0,B182/B175,0)</f>
        <v>0</v>
      </c>
      <c r="E183" s="224" t="s">
        <v>45</v>
      </c>
      <c r="M183" s="285">
        <f>+IF(D183&gt;0.95,0.5,0)</f>
        <v>0</v>
      </c>
      <c r="N183" s="226"/>
      <c r="O183" s="280">
        <v>100</v>
      </c>
      <c r="P183" s="276"/>
      <c r="Q183" s="276"/>
      <c r="R183" s="276"/>
      <c r="S183" s="276"/>
      <c r="T183" s="276"/>
      <c r="U183" s="277" t="s">
        <v>41</v>
      </c>
      <c r="V183" s="323"/>
      <c r="W183" s="328"/>
      <c r="X183" s="305"/>
      <c r="Y183" s="253"/>
      <c r="Z183" s="305"/>
      <c r="AA183" s="325"/>
      <c r="AB183" s="305"/>
      <c r="AC183" s="325"/>
      <c r="AD183" s="305"/>
      <c r="AE183" s="325"/>
      <c r="AF183" s="329"/>
      <c r="AG183" s="325"/>
      <c r="AH183" s="329"/>
      <c r="AI183" s="325"/>
    </row>
    <row r="184" spans="1:79" ht="6" customHeight="1" outlineLevel="1">
      <c r="D184" s="232"/>
      <c r="E184" s="232"/>
      <c r="F184" s="232"/>
      <c r="G184" s="232"/>
      <c r="H184" s="232"/>
      <c r="M184" s="330"/>
      <c r="N184" s="233"/>
      <c r="O184" s="276"/>
      <c r="P184" s="276"/>
      <c r="Q184" s="276"/>
      <c r="R184" s="276"/>
      <c r="S184" s="276"/>
      <c r="T184" s="276"/>
      <c r="U184" s="286"/>
    </row>
    <row r="185" spans="1:79" s="224" customFormat="1" ht="15.95" customHeight="1">
      <c r="A185" s="222"/>
      <c r="B185" s="248" t="s">
        <v>93</v>
      </c>
      <c r="C185" s="109"/>
      <c r="D185" s="302"/>
      <c r="M185" s="335">
        <f>SUM(M162:M184)</f>
        <v>0</v>
      </c>
      <c r="N185" s="226"/>
      <c r="O185" s="280"/>
      <c r="P185" s="276"/>
      <c r="Q185" s="276"/>
      <c r="R185" s="276"/>
      <c r="S185" s="276"/>
      <c r="T185" s="276"/>
      <c r="U185" s="331"/>
      <c r="V185" s="323"/>
      <c r="W185" s="321"/>
      <c r="X185" s="305"/>
      <c r="Y185" s="253"/>
      <c r="Z185" s="305"/>
      <c r="AA185" s="325"/>
      <c r="AB185" s="305"/>
      <c r="AC185" s="325"/>
      <c r="AD185" s="305"/>
      <c r="AE185" s="325"/>
      <c r="AF185" s="252"/>
      <c r="AG185" s="253"/>
      <c r="AH185" s="252"/>
      <c r="AI185" s="253"/>
    </row>
    <row r="186" spans="1:79" s="224" customFormat="1" ht="15.95" customHeight="1">
      <c r="A186" s="222"/>
      <c r="B186" s="224" t="s">
        <v>51</v>
      </c>
      <c r="C186" s="109"/>
      <c r="G186" s="302">
        <f>+(DGL_Streue+B16)/LN</f>
        <v>0</v>
      </c>
      <c r="M186" s="333"/>
      <c r="N186" s="226"/>
      <c r="O186" s="276"/>
      <c r="P186" s="276"/>
      <c r="Q186" s="276"/>
      <c r="R186" s="276"/>
      <c r="S186" s="276"/>
      <c r="T186" s="276"/>
      <c r="U186" s="277"/>
      <c r="V186" s="323"/>
      <c r="W186" s="321"/>
      <c r="X186" s="324"/>
      <c r="Y186" s="253"/>
      <c r="Z186" s="324"/>
      <c r="AA186" s="253"/>
      <c r="AB186" s="324"/>
      <c r="AC186" s="253"/>
      <c r="AD186" s="252"/>
      <c r="AE186" s="253"/>
      <c r="AF186" s="252"/>
      <c r="AG186" s="253"/>
      <c r="AH186" s="252"/>
      <c r="AI186" s="253"/>
    </row>
    <row r="187" spans="1:79" ht="6" customHeight="1">
      <c r="D187" s="232"/>
      <c r="E187" s="232"/>
      <c r="F187" s="232"/>
      <c r="G187" s="232"/>
      <c r="H187" s="232"/>
      <c r="N187" s="233"/>
      <c r="O187" s="276"/>
      <c r="P187" s="276"/>
      <c r="Q187" s="276"/>
      <c r="R187" s="276"/>
      <c r="S187" s="276"/>
      <c r="T187" s="276"/>
      <c r="U187" s="286"/>
    </row>
    <row r="188" spans="1:79" s="272" customFormat="1" ht="20.100000000000001" customHeight="1" outlineLevel="1">
      <c r="A188" s="271" t="s">
        <v>73</v>
      </c>
      <c r="C188" s="271"/>
      <c r="N188" s="318">
        <f>+M185*G186</f>
        <v>0</v>
      </c>
      <c r="O188" s="275"/>
      <c r="P188" s="275"/>
      <c r="Q188" s="275"/>
      <c r="R188" s="275"/>
      <c r="S188" s="275"/>
      <c r="T188" s="275"/>
      <c r="U188" s="292"/>
      <c r="V188" s="234"/>
      <c r="W188" s="234"/>
      <c r="X188" s="229"/>
      <c r="Y188" s="230"/>
      <c r="Z188" s="229"/>
      <c r="AA188" s="230"/>
      <c r="AB188" s="229"/>
      <c r="AC188" s="230"/>
      <c r="AD188" s="229"/>
      <c r="AE188" s="230"/>
      <c r="AF188" s="229"/>
      <c r="AG188" s="230"/>
      <c r="AH188" s="229"/>
      <c r="AI188" s="230"/>
      <c r="AJ188" s="292"/>
      <c r="AK188" s="292"/>
      <c r="AL188" s="292"/>
      <c r="AM188" s="292"/>
      <c r="AN188" s="292"/>
      <c r="AO188" s="292"/>
      <c r="AP188" s="292"/>
      <c r="AQ188" s="292"/>
      <c r="AR188" s="292"/>
      <c r="AS188" s="292"/>
      <c r="AT188" s="292"/>
      <c r="AU188" s="292"/>
      <c r="AV188" s="292"/>
      <c r="AW188" s="292"/>
      <c r="AX188" s="292"/>
      <c r="AY188" s="292"/>
      <c r="AZ188" s="292"/>
      <c r="BA188" s="292"/>
      <c r="BB188" s="292"/>
      <c r="BC188" s="292"/>
      <c r="BD188" s="292"/>
      <c r="BE188" s="292"/>
      <c r="BF188" s="292"/>
      <c r="BG188" s="292"/>
      <c r="BH188" s="292"/>
      <c r="BI188" s="292"/>
      <c r="BJ188" s="292"/>
      <c r="BK188" s="292"/>
      <c r="BL188" s="292"/>
      <c r="BM188" s="292"/>
      <c r="BN188" s="292"/>
      <c r="BO188" s="292"/>
      <c r="BP188" s="292"/>
      <c r="BQ188" s="292"/>
      <c r="BR188" s="292"/>
      <c r="BS188" s="292"/>
      <c r="BT188" s="292"/>
      <c r="BU188" s="292"/>
      <c r="BV188" s="292"/>
      <c r="BW188" s="292"/>
      <c r="BX188" s="292"/>
      <c r="BY188" s="292"/>
      <c r="BZ188" s="292"/>
      <c r="CA188" s="292"/>
    </row>
    <row r="189" spans="1:79" ht="6" customHeight="1">
      <c r="D189" s="232"/>
      <c r="E189" s="232"/>
      <c r="F189" s="232"/>
      <c r="G189" s="232"/>
      <c r="H189" s="232"/>
      <c r="N189" s="233"/>
    </row>
    <row r="190" spans="1:79" s="272" customFormat="1" ht="20.100000000000001" customHeight="1" outlineLevel="1">
      <c r="A190" s="271" t="s">
        <v>165</v>
      </c>
      <c r="C190" s="271"/>
      <c r="M190" s="274" t="s">
        <v>9</v>
      </c>
      <c r="N190" s="274" t="s">
        <v>71</v>
      </c>
      <c r="O190" s="275" t="s">
        <v>16</v>
      </c>
      <c r="P190" s="275" t="s">
        <v>10</v>
      </c>
      <c r="Q190" s="275" t="s">
        <v>17</v>
      </c>
      <c r="R190" s="275" t="s">
        <v>11</v>
      </c>
      <c r="S190" s="275" t="s">
        <v>320</v>
      </c>
      <c r="T190" s="275" t="s">
        <v>12</v>
      </c>
      <c r="U190" s="275" t="s">
        <v>15</v>
      </c>
      <c r="V190" s="234"/>
      <c r="W190" s="234"/>
      <c r="X190" s="229"/>
      <c r="Y190" s="230"/>
      <c r="Z190" s="229"/>
      <c r="AA190" s="230"/>
      <c r="AB190" s="229"/>
      <c r="AC190" s="230"/>
      <c r="AD190" s="229"/>
      <c r="AE190" s="230"/>
      <c r="AF190" s="229"/>
      <c r="AG190" s="230"/>
      <c r="AH190" s="229"/>
      <c r="AI190" s="230"/>
      <c r="AJ190" s="292"/>
      <c r="AK190" s="292"/>
      <c r="AL190" s="292"/>
      <c r="AM190" s="292"/>
      <c r="AN190" s="292"/>
      <c r="AO190" s="292"/>
      <c r="AP190" s="292"/>
      <c r="AQ190" s="292"/>
      <c r="AR190" s="292"/>
      <c r="AS190" s="292"/>
      <c r="AT190" s="292"/>
      <c r="AU190" s="292"/>
      <c r="AV190" s="292"/>
      <c r="AW190" s="292"/>
      <c r="AX190" s="292"/>
      <c r="AY190" s="292"/>
      <c r="AZ190" s="292"/>
      <c r="BA190" s="292"/>
      <c r="BB190" s="292"/>
      <c r="BC190" s="292"/>
      <c r="BD190" s="292"/>
      <c r="BE190" s="292"/>
      <c r="BF190" s="292"/>
      <c r="BG190" s="292"/>
      <c r="BH190" s="292"/>
      <c r="BI190" s="292"/>
      <c r="BJ190" s="292"/>
      <c r="BK190" s="292"/>
      <c r="BL190" s="292"/>
      <c r="BM190" s="292"/>
      <c r="BN190" s="292"/>
      <c r="BO190" s="292"/>
      <c r="BP190" s="292"/>
      <c r="BQ190" s="292"/>
      <c r="BR190" s="292"/>
      <c r="BS190" s="292"/>
      <c r="BT190" s="292"/>
      <c r="BU190" s="292"/>
      <c r="BV190" s="292"/>
      <c r="BW190" s="292"/>
      <c r="BX190" s="292"/>
      <c r="BY190" s="292"/>
      <c r="BZ190" s="292"/>
      <c r="CA190" s="292"/>
    </row>
    <row r="191" spans="1:79" ht="6" customHeight="1" outlineLevel="1">
      <c r="D191" s="232"/>
      <c r="E191" s="232"/>
      <c r="F191" s="232"/>
      <c r="G191" s="232"/>
      <c r="H191" s="232"/>
      <c r="N191" s="233"/>
      <c r="O191" s="276"/>
      <c r="P191" s="276"/>
      <c r="Q191" s="276"/>
      <c r="R191" s="276"/>
      <c r="S191" s="276"/>
      <c r="T191" s="276"/>
      <c r="U191" s="286"/>
    </row>
    <row r="192" spans="1:79" s="224" customFormat="1" ht="15.95" customHeight="1" outlineLevel="1">
      <c r="A192" s="222" t="s">
        <v>480</v>
      </c>
      <c r="B192" s="248" t="s">
        <v>477</v>
      </c>
      <c r="D192" s="317"/>
      <c r="M192" s="333"/>
      <c r="N192" s="226"/>
      <c r="O192" s="280"/>
      <c r="P192" s="276"/>
      <c r="Q192" s="276"/>
      <c r="R192" s="276"/>
      <c r="S192" s="276"/>
      <c r="T192" s="276"/>
      <c r="U192" s="277"/>
      <c r="V192" s="323"/>
      <c r="W192" s="321"/>
      <c r="X192" s="336"/>
      <c r="Y192" s="253"/>
      <c r="Z192" s="336"/>
      <c r="AA192" s="253"/>
      <c r="AB192" s="336"/>
      <c r="AC192" s="337"/>
      <c r="AD192" s="336"/>
      <c r="AE192" s="253"/>
      <c r="AF192" s="284"/>
      <c r="AG192" s="338"/>
      <c r="AH192" s="284"/>
      <c r="AI192" s="338"/>
    </row>
    <row r="193" spans="1:40" s="224" customFormat="1" ht="15.95" customHeight="1" outlineLevel="1">
      <c r="A193" s="222"/>
      <c r="B193" s="192">
        <v>0</v>
      </c>
      <c r="C193" s="224" t="s">
        <v>477</v>
      </c>
      <c r="D193" s="317"/>
      <c r="M193" s="333"/>
      <c r="N193" s="226"/>
      <c r="O193" s="280"/>
      <c r="P193" s="276"/>
      <c r="Q193" s="276"/>
      <c r="R193" s="276"/>
      <c r="S193" s="276"/>
      <c r="T193" s="276"/>
      <c r="U193" s="277"/>
      <c r="V193" s="323"/>
      <c r="W193" s="321"/>
      <c r="X193" s="336"/>
      <c r="Y193" s="253"/>
      <c r="Z193" s="336"/>
      <c r="AA193" s="253"/>
      <c r="AB193" s="336"/>
      <c r="AC193" s="337"/>
      <c r="AD193" s="336"/>
      <c r="AE193" s="253"/>
      <c r="AF193" s="284"/>
      <c r="AG193" s="338"/>
      <c r="AH193" s="284"/>
      <c r="AI193" s="338"/>
    </row>
    <row r="194" spans="1:40" s="224" customFormat="1" ht="15.95" customHeight="1" outlineLevel="1">
      <c r="A194" s="222"/>
      <c r="B194" s="109" t="s">
        <v>2</v>
      </c>
      <c r="C194" s="302">
        <f>+B193/B$13</f>
        <v>0</v>
      </c>
      <c r="D194" s="224" t="s">
        <v>3</v>
      </c>
      <c r="I194" s="291"/>
      <c r="M194" s="333">
        <f>+IF(C194&gt;AD194,AE194,IF(C194&gt;AB194,AC194,IF(C194&gt;Z194,AA194,IF(C194&gt;=X194,Y194,0))))</f>
        <v>0</v>
      </c>
      <c r="N194" s="226"/>
      <c r="O194" s="280" t="str">
        <f>+X194*100&amp;"–"&amp;Z194*100</f>
        <v>2–3</v>
      </c>
      <c r="P194" s="276" t="str">
        <f>+"&gt;"&amp;Z194*100&amp;"–"&amp;AB194*100</f>
        <v>&gt;3–4</v>
      </c>
      <c r="Q194" s="276" t="str">
        <f>+"&gt;"&amp;AB194*100&amp;"–"&amp;AD194*100</f>
        <v>&gt;4–5</v>
      </c>
      <c r="R194" s="276" t="str">
        <f>+"&gt;"&amp;AD194*100</f>
        <v>&gt;5</v>
      </c>
      <c r="S194" s="276"/>
      <c r="T194" s="276"/>
      <c r="U194" s="277" t="s">
        <v>41</v>
      </c>
      <c r="V194" s="323"/>
      <c r="W194" s="321"/>
      <c r="X194" s="324">
        <v>0.02</v>
      </c>
      <c r="Y194" s="253">
        <v>0.5</v>
      </c>
      <c r="Z194" s="324">
        <v>0.03</v>
      </c>
      <c r="AA194" s="253">
        <v>1</v>
      </c>
      <c r="AB194" s="324">
        <v>0.04</v>
      </c>
      <c r="AC194" s="253">
        <v>1.5</v>
      </c>
      <c r="AD194" s="324">
        <v>0.05</v>
      </c>
      <c r="AE194" s="253">
        <v>2</v>
      </c>
      <c r="AF194" s="252"/>
      <c r="AG194" s="253"/>
      <c r="AH194" s="252"/>
      <c r="AI194" s="253"/>
    </row>
    <row r="195" spans="1:40" s="224" customFormat="1" ht="6" customHeight="1" outlineLevel="1">
      <c r="A195" s="222"/>
      <c r="B195" s="109"/>
      <c r="C195" s="302"/>
      <c r="I195" s="291"/>
      <c r="M195" s="333"/>
      <c r="N195" s="226"/>
      <c r="O195" s="280"/>
      <c r="P195" s="276"/>
      <c r="Q195" s="276"/>
      <c r="R195" s="276"/>
      <c r="S195" s="276"/>
      <c r="T195" s="276"/>
      <c r="U195" s="277"/>
      <c r="V195" s="323"/>
      <c r="W195" s="321"/>
      <c r="X195" s="324"/>
      <c r="Y195" s="253"/>
      <c r="Z195" s="324"/>
      <c r="AA195" s="253"/>
      <c r="AB195" s="324"/>
      <c r="AC195" s="253"/>
      <c r="AD195" s="324"/>
      <c r="AE195" s="253"/>
      <c r="AF195" s="252"/>
      <c r="AG195" s="253"/>
      <c r="AH195" s="252"/>
      <c r="AI195" s="253"/>
    </row>
    <row r="196" spans="1:40" s="224" customFormat="1" ht="15.95" customHeight="1" outlineLevel="1">
      <c r="A196" s="222">
        <v>13</v>
      </c>
      <c r="B196" s="248" t="s">
        <v>167</v>
      </c>
      <c r="C196" s="109"/>
      <c r="D196" s="317"/>
      <c r="M196" s="285"/>
      <c r="N196" s="226"/>
      <c r="O196" s="280"/>
      <c r="P196" s="276"/>
      <c r="Q196" s="276"/>
      <c r="R196" s="276"/>
      <c r="S196" s="276"/>
      <c r="T196" s="276"/>
      <c r="U196" s="277"/>
      <c r="V196" s="323"/>
      <c r="W196" s="321"/>
      <c r="X196" s="284"/>
      <c r="Y196" s="338"/>
      <c r="Z196" s="284"/>
      <c r="AA196" s="338"/>
      <c r="AB196" s="284"/>
      <c r="AC196" s="337"/>
      <c r="AD196" s="284"/>
      <c r="AE196" s="338"/>
      <c r="AF196" s="284"/>
      <c r="AG196" s="338"/>
      <c r="AH196" s="284"/>
      <c r="AI196" s="338"/>
    </row>
    <row r="197" spans="1:40" s="224" customFormat="1" ht="15.95" customHeight="1" outlineLevel="1">
      <c r="A197" s="222">
        <v>13.1</v>
      </c>
      <c r="B197" s="526" t="s">
        <v>168</v>
      </c>
      <c r="C197" s="526"/>
      <c r="D197" s="526"/>
      <c r="E197" s="526"/>
      <c r="I197" s="251" t="s">
        <v>170</v>
      </c>
      <c r="K197" s="224">
        <f>SUM(G199:G202,K199:K202)</f>
        <v>0</v>
      </c>
      <c r="M197" s="333">
        <f>++IF(K197&gt;AD197,AE197,IF(K197&gt;AB197,AC197,IF(K197&gt;Z197,AA197,IF(K197&gt;=X197,Y197,))))</f>
        <v>0</v>
      </c>
      <c r="N197" s="226"/>
      <c r="O197" s="280" t="str">
        <f>+X197&amp;"–"&amp;Z197</f>
        <v>100–200</v>
      </c>
      <c r="P197" s="276" t="str">
        <f>+"&gt;"&amp;Z197&amp;"–"&amp;AB197</f>
        <v>&gt;200–300</v>
      </c>
      <c r="Q197" s="276" t="str">
        <f>+"&gt;"&amp;AB197&amp;"-"&amp;AD197</f>
        <v>&gt;300-400</v>
      </c>
      <c r="R197" s="276" t="str">
        <f>+"&gt;"&amp;AD197</f>
        <v>&gt;400</v>
      </c>
      <c r="S197" s="276"/>
      <c r="T197" s="276"/>
      <c r="U197" s="277" t="s">
        <v>20</v>
      </c>
      <c r="V197" s="323"/>
      <c r="W197" s="321"/>
      <c r="X197" s="336">
        <v>100</v>
      </c>
      <c r="Y197" s="253">
        <v>0.5</v>
      </c>
      <c r="Z197" s="336">
        <v>200</v>
      </c>
      <c r="AA197" s="253">
        <v>1</v>
      </c>
      <c r="AB197" s="336">
        <v>300</v>
      </c>
      <c r="AC197" s="337">
        <v>1.5</v>
      </c>
      <c r="AD197" s="336">
        <v>400</v>
      </c>
      <c r="AE197" s="253">
        <v>2</v>
      </c>
      <c r="AF197" s="284"/>
      <c r="AG197" s="338"/>
      <c r="AH197" s="284"/>
      <c r="AI197" s="338"/>
    </row>
    <row r="198" spans="1:40" s="224" customFormat="1" ht="15.95" customHeight="1" outlineLevel="1">
      <c r="A198" s="222"/>
      <c r="B198" s="317"/>
      <c r="D198" s="317"/>
      <c r="E198" s="224" t="s">
        <v>169</v>
      </c>
      <c r="G198" s="224" t="s">
        <v>171</v>
      </c>
      <c r="I198" s="224" t="s">
        <v>169</v>
      </c>
      <c r="J198" s="317"/>
      <c r="K198" s="224" t="s">
        <v>171</v>
      </c>
      <c r="M198" s="285"/>
      <c r="N198" s="226"/>
      <c r="O198" s="280"/>
      <c r="P198" s="276"/>
      <c r="Q198" s="276"/>
      <c r="R198" s="276"/>
      <c r="S198" s="276"/>
      <c r="T198" s="276"/>
      <c r="U198" s="277"/>
      <c r="V198" s="323"/>
      <c r="W198" s="321"/>
      <c r="X198" s="336"/>
      <c r="Y198" s="253"/>
      <c r="Z198" s="336"/>
      <c r="AA198" s="253"/>
      <c r="AB198" s="336"/>
      <c r="AC198" s="337"/>
      <c r="AD198" s="336"/>
      <c r="AE198" s="253"/>
      <c r="AF198" s="284"/>
      <c r="AG198" s="338"/>
      <c r="AH198" s="284"/>
      <c r="AI198" s="338"/>
    </row>
    <row r="199" spans="1:40" s="224" customFormat="1" ht="15.95" customHeight="1" outlineLevel="1">
      <c r="A199" s="222"/>
      <c r="C199" s="339">
        <f ca="1">YEAR(TODAY())</f>
        <v>2026</v>
      </c>
      <c r="D199" s="317"/>
      <c r="E199" s="139">
        <v>2026</v>
      </c>
      <c r="G199" s="340">
        <v>0</v>
      </c>
      <c r="I199" s="196">
        <f>+E202-1</f>
        <v>2022</v>
      </c>
      <c r="K199" s="340">
        <v>0</v>
      </c>
      <c r="M199" s="285"/>
      <c r="N199" s="226"/>
      <c r="O199" s="280"/>
      <c r="P199" s="276"/>
      <c r="Q199" s="276"/>
      <c r="R199" s="276"/>
      <c r="S199" s="276"/>
      <c r="T199" s="276"/>
      <c r="U199" s="277"/>
      <c r="V199" s="323"/>
      <c r="W199" s="321"/>
      <c r="X199" s="336"/>
      <c r="Y199" s="253"/>
      <c r="Z199" s="336"/>
      <c r="AA199" s="253"/>
      <c r="AB199" s="336"/>
      <c r="AC199" s="337"/>
      <c r="AD199" s="336"/>
      <c r="AE199" s="253"/>
      <c r="AF199" s="284"/>
      <c r="AG199" s="338"/>
      <c r="AH199" s="284"/>
      <c r="AI199" s="338"/>
    </row>
    <row r="200" spans="1:40" s="224" customFormat="1" ht="15.95" customHeight="1" outlineLevel="1">
      <c r="A200" s="222"/>
      <c r="B200" s="317"/>
      <c r="D200" s="317"/>
      <c r="E200" s="196">
        <f>+E199-1</f>
        <v>2025</v>
      </c>
      <c r="G200" s="340">
        <v>0</v>
      </c>
      <c r="I200" s="196">
        <f t="shared" ref="I200:I202" si="1">+I199-1</f>
        <v>2021</v>
      </c>
      <c r="K200" s="340">
        <v>0</v>
      </c>
      <c r="M200" s="285"/>
      <c r="N200" s="226"/>
      <c r="O200" s="280"/>
      <c r="P200" s="276"/>
      <c r="Q200" s="276"/>
      <c r="R200" s="276"/>
      <c r="S200" s="276"/>
      <c r="T200" s="276"/>
      <c r="U200" s="277"/>
      <c r="V200" s="323"/>
      <c r="W200" s="321"/>
      <c r="X200" s="336"/>
      <c r="Y200" s="253"/>
      <c r="Z200" s="336"/>
      <c r="AA200" s="253"/>
      <c r="AB200" s="336"/>
      <c r="AC200" s="337"/>
      <c r="AD200" s="336"/>
      <c r="AE200" s="253"/>
      <c r="AF200" s="284"/>
      <c r="AG200" s="338"/>
      <c r="AH200" s="284"/>
      <c r="AI200" s="338"/>
    </row>
    <row r="201" spans="1:40" s="224" customFormat="1" ht="15.95" customHeight="1" outlineLevel="1">
      <c r="A201" s="222"/>
      <c r="B201" s="317"/>
      <c r="D201" s="317"/>
      <c r="E201" s="196">
        <f t="shared" ref="E201:E202" si="2">+E200-1</f>
        <v>2024</v>
      </c>
      <c r="G201" s="340">
        <v>0</v>
      </c>
      <c r="I201" s="196">
        <f t="shared" si="1"/>
        <v>2020</v>
      </c>
      <c r="K201" s="340">
        <v>0</v>
      </c>
      <c r="M201" s="285"/>
      <c r="N201" s="226"/>
      <c r="O201" s="280"/>
      <c r="P201" s="276"/>
      <c r="Q201" s="276"/>
      <c r="R201" s="276"/>
      <c r="S201" s="276"/>
      <c r="T201" s="276"/>
      <c r="U201" s="277"/>
      <c r="V201" s="323"/>
      <c r="W201" s="321"/>
      <c r="X201" s="336"/>
      <c r="Y201" s="253"/>
      <c r="Z201" s="336"/>
      <c r="AA201" s="253"/>
      <c r="AB201" s="336"/>
      <c r="AC201" s="337"/>
      <c r="AD201" s="336"/>
      <c r="AE201" s="253"/>
      <c r="AF201" s="284"/>
      <c r="AG201" s="338"/>
      <c r="AH201" s="284"/>
      <c r="AI201" s="338"/>
    </row>
    <row r="202" spans="1:40" s="224" customFormat="1" ht="15.95" customHeight="1" outlineLevel="1">
      <c r="A202" s="222"/>
      <c r="B202" s="317"/>
      <c r="D202" s="317"/>
      <c r="E202" s="196">
        <f t="shared" si="2"/>
        <v>2023</v>
      </c>
      <c r="G202" s="340">
        <v>0</v>
      </c>
      <c r="I202" s="196">
        <f t="shared" si="1"/>
        <v>2019</v>
      </c>
      <c r="K202" s="340">
        <v>0</v>
      </c>
      <c r="M202" s="285"/>
      <c r="N202" s="226"/>
      <c r="O202" s="280"/>
      <c r="P202" s="276"/>
      <c r="Q202" s="276"/>
      <c r="R202" s="276"/>
      <c r="S202" s="276"/>
      <c r="T202" s="276"/>
      <c r="U202" s="277"/>
      <c r="V202" s="323"/>
      <c r="W202" s="321"/>
      <c r="X202" s="336"/>
      <c r="Y202" s="253"/>
      <c r="Z202" s="336"/>
      <c r="AA202" s="253"/>
      <c r="AB202" s="336"/>
      <c r="AC202" s="337"/>
      <c r="AD202" s="336"/>
      <c r="AE202" s="253"/>
      <c r="AF202" s="284"/>
      <c r="AG202" s="338"/>
      <c r="AH202" s="284"/>
      <c r="AI202" s="338"/>
    </row>
    <row r="203" spans="1:40" ht="6" customHeight="1">
      <c r="B203" s="317"/>
      <c r="D203" s="232"/>
      <c r="E203" s="232"/>
      <c r="F203" s="232"/>
      <c r="G203" s="232"/>
      <c r="H203" s="232"/>
      <c r="M203" s="330"/>
      <c r="N203" s="233"/>
      <c r="O203" s="276"/>
      <c r="P203" s="276"/>
      <c r="Q203" s="276"/>
      <c r="R203" s="276"/>
      <c r="S203" s="276"/>
      <c r="T203" s="276"/>
      <c r="U203" s="286"/>
    </row>
    <row r="204" spans="1:40" s="224" customFormat="1" ht="15.95" customHeight="1" outlineLevel="1">
      <c r="A204" s="222">
        <v>13.2</v>
      </c>
      <c r="B204" s="248" t="s">
        <v>172</v>
      </c>
      <c r="C204" s="109"/>
      <c r="D204" s="317"/>
      <c r="M204" s="285"/>
      <c r="N204" s="226"/>
      <c r="O204" s="280"/>
      <c r="P204" s="276"/>
      <c r="Q204" s="276"/>
      <c r="R204" s="276"/>
      <c r="S204" s="276"/>
      <c r="T204" s="276"/>
      <c r="U204" s="277"/>
      <c r="V204" s="323"/>
      <c r="W204" s="321"/>
      <c r="X204" s="284"/>
      <c r="Y204" s="338"/>
      <c r="Z204" s="284"/>
      <c r="AA204" s="338"/>
      <c r="AB204" s="284"/>
      <c r="AC204" s="337"/>
      <c r="AD204" s="284"/>
      <c r="AE204" s="338"/>
      <c r="AF204" s="284"/>
      <c r="AG204" s="338"/>
      <c r="AH204" s="284"/>
      <c r="AI204" s="338"/>
    </row>
    <row r="205" spans="1:40" s="224" customFormat="1" ht="15.95" customHeight="1" outlineLevel="1">
      <c r="A205" s="222"/>
      <c r="B205" s="341" t="b">
        <v>0</v>
      </c>
      <c r="C205" s="536" t="s">
        <v>173</v>
      </c>
      <c r="D205" s="536"/>
      <c r="E205" s="536"/>
      <c r="F205" s="536"/>
      <c r="G205" s="536"/>
      <c r="H205" s="536"/>
      <c r="I205" s="536"/>
      <c r="J205" s="536"/>
      <c r="M205" s="333">
        <f>+IF(B205,2,0)</f>
        <v>0</v>
      </c>
      <c r="N205" s="226"/>
      <c r="O205" s="280"/>
      <c r="P205" s="276"/>
      <c r="Q205" s="276"/>
      <c r="R205" s="276"/>
      <c r="S205" s="276"/>
      <c r="T205" s="276"/>
      <c r="U205" s="277"/>
      <c r="V205" s="323"/>
      <c r="W205" s="321"/>
      <c r="X205" s="336"/>
      <c r="Y205" s="253"/>
      <c r="Z205" s="336"/>
      <c r="AA205" s="253"/>
      <c r="AB205" s="336"/>
      <c r="AC205" s="337"/>
      <c r="AD205" s="336"/>
      <c r="AE205" s="253"/>
      <c r="AF205" s="284"/>
      <c r="AG205" s="338"/>
      <c r="AH205" s="284"/>
      <c r="AI205" s="338"/>
      <c r="AJ205" s="342"/>
      <c r="AK205" s="343"/>
      <c r="AL205" s="343"/>
      <c r="AM205" s="343"/>
      <c r="AN205" s="343"/>
    </row>
    <row r="206" spans="1:40" ht="6" customHeight="1">
      <c r="B206" s="317"/>
      <c r="D206" s="232"/>
      <c r="E206" s="232"/>
      <c r="F206" s="232"/>
      <c r="G206" s="232"/>
      <c r="H206" s="232"/>
      <c r="M206" s="330"/>
      <c r="N206" s="233"/>
      <c r="O206" s="276"/>
      <c r="P206" s="276"/>
      <c r="Q206" s="276"/>
      <c r="R206" s="276"/>
      <c r="S206" s="276"/>
      <c r="T206" s="276"/>
      <c r="U206" s="286"/>
    </row>
    <row r="207" spans="1:40" s="224" customFormat="1" ht="15.95" customHeight="1" outlineLevel="1">
      <c r="A207" s="222">
        <v>14</v>
      </c>
      <c r="B207" s="248" t="s">
        <v>52</v>
      </c>
      <c r="M207" s="344"/>
      <c r="N207" s="226"/>
      <c r="O207" s="322"/>
      <c r="P207" s="322"/>
      <c r="Q207" s="322"/>
      <c r="R207" s="322"/>
      <c r="S207" s="322"/>
      <c r="T207" s="322"/>
      <c r="U207" s="277"/>
      <c r="V207" s="252"/>
      <c r="W207" s="252"/>
      <c r="X207" s="252"/>
      <c r="Y207" s="253"/>
      <c r="Z207" s="252"/>
      <c r="AA207" s="253"/>
      <c r="AB207" s="252"/>
      <c r="AC207" s="253"/>
      <c r="AD207" s="252"/>
      <c r="AE207" s="253"/>
      <c r="AF207" s="252"/>
      <c r="AG207" s="253"/>
      <c r="AH207" s="252"/>
      <c r="AI207" s="253"/>
    </row>
    <row r="208" spans="1:40" s="224" customFormat="1" ht="15.95" customHeight="1">
      <c r="A208" s="222">
        <v>14.1</v>
      </c>
      <c r="B208" s="340">
        <v>0</v>
      </c>
      <c r="C208" s="526" t="s">
        <v>174</v>
      </c>
      <c r="D208" s="526"/>
      <c r="E208" s="526"/>
      <c r="F208" s="526"/>
      <c r="G208" s="526"/>
      <c r="H208" s="526"/>
      <c r="I208" s="526"/>
      <c r="J208" s="526"/>
      <c r="M208" s="333">
        <f>+IF(B208&gt;Z208,AA208,IF(B208&gt;=X208,Y208,))</f>
        <v>0</v>
      </c>
      <c r="O208" s="280" t="str">
        <f>+X208&amp;"–"&amp;Z208</f>
        <v>1–20</v>
      </c>
      <c r="P208" s="276" t="str">
        <f>+"&gt;"&amp;Z208</f>
        <v>&gt;20</v>
      </c>
      <c r="Q208" s="322"/>
      <c r="R208" s="322"/>
      <c r="S208" s="322"/>
      <c r="T208" s="322"/>
      <c r="U208" s="277"/>
      <c r="V208" s="252"/>
      <c r="W208" s="252"/>
      <c r="X208" s="252">
        <v>1</v>
      </c>
      <c r="Y208" s="253">
        <v>0.5</v>
      </c>
      <c r="Z208" s="252">
        <v>20</v>
      </c>
      <c r="AA208" s="253">
        <v>1</v>
      </c>
      <c r="AB208" s="252"/>
      <c r="AC208" s="253"/>
      <c r="AD208" s="252"/>
      <c r="AE208" s="253"/>
      <c r="AF208" s="252"/>
      <c r="AG208" s="253"/>
      <c r="AH208" s="252"/>
      <c r="AI208" s="253"/>
    </row>
    <row r="209" spans="1:40" s="224" customFormat="1" ht="6" customHeight="1" outlineLevel="1">
      <c r="D209" s="317"/>
      <c r="M209" s="344"/>
      <c r="N209" s="226"/>
      <c r="O209" s="280"/>
      <c r="P209" s="276"/>
      <c r="Q209" s="276"/>
      <c r="R209" s="276"/>
      <c r="S209" s="276"/>
      <c r="T209" s="276"/>
      <c r="U209" s="277"/>
      <c r="V209" s="323"/>
      <c r="W209" s="321"/>
      <c r="X209" s="252"/>
      <c r="Y209" s="253"/>
      <c r="Z209" s="252"/>
      <c r="AA209" s="253"/>
      <c r="AB209" s="252"/>
      <c r="AC209" s="253"/>
      <c r="AD209" s="252"/>
      <c r="AE209" s="253"/>
      <c r="AF209" s="284"/>
      <c r="AG209" s="338"/>
      <c r="AH209" s="284"/>
      <c r="AI209" s="338"/>
    </row>
    <row r="210" spans="1:40" s="224" customFormat="1" ht="15.95" customHeight="1">
      <c r="A210" s="222">
        <v>14.2</v>
      </c>
      <c r="B210" s="340">
        <v>0</v>
      </c>
      <c r="C210" s="526" t="s">
        <v>175</v>
      </c>
      <c r="D210" s="526"/>
      <c r="E210" s="526"/>
      <c r="F210" s="526"/>
      <c r="G210" s="526"/>
      <c r="H210" s="526"/>
      <c r="I210" s="526"/>
      <c r="J210" s="526"/>
      <c r="M210" s="333">
        <f>+IF(B210&gt;Z210,AA210,IF(B210&gt;=X210,Y210,))</f>
        <v>0</v>
      </c>
      <c r="O210" s="280" t="str">
        <f>+X210&amp;"–"&amp;Z210</f>
        <v>11–30</v>
      </c>
      <c r="P210" s="276" t="str">
        <f>+"&gt;"&amp;Z210</f>
        <v>&gt;30</v>
      </c>
      <c r="Q210" s="322"/>
      <c r="R210" s="322"/>
      <c r="S210" s="322"/>
      <c r="T210" s="322"/>
      <c r="U210" s="277"/>
      <c r="V210" s="252"/>
      <c r="W210" s="252"/>
      <c r="X210" s="252">
        <v>11</v>
      </c>
      <c r="Y210" s="253">
        <v>0.5</v>
      </c>
      <c r="Z210" s="252">
        <v>30</v>
      </c>
      <c r="AA210" s="253">
        <v>1</v>
      </c>
      <c r="AB210" s="252"/>
      <c r="AC210" s="253"/>
      <c r="AD210" s="252"/>
      <c r="AE210" s="253"/>
      <c r="AF210" s="252"/>
      <c r="AG210" s="253"/>
      <c r="AH210" s="252"/>
      <c r="AI210" s="253"/>
    </row>
    <row r="211" spans="1:40" ht="6" customHeight="1">
      <c r="D211" s="232"/>
      <c r="E211" s="232"/>
      <c r="F211" s="232"/>
      <c r="G211" s="232"/>
      <c r="H211" s="232"/>
      <c r="L211" s="232"/>
      <c r="M211" s="330"/>
      <c r="N211" s="231"/>
      <c r="O211" s="276"/>
      <c r="P211" s="276"/>
      <c r="Q211" s="276"/>
      <c r="R211" s="276"/>
      <c r="S211" s="276"/>
      <c r="T211" s="276"/>
      <c r="U211" s="286"/>
    </row>
    <row r="212" spans="1:40" s="224" customFormat="1" ht="15.95" customHeight="1">
      <c r="A212" s="222">
        <v>14.3</v>
      </c>
      <c r="B212" s="278">
        <v>0</v>
      </c>
      <c r="C212" s="224" t="s">
        <v>116</v>
      </c>
      <c r="M212" s="333">
        <f>+IF(B212&gt;Z212,AA212,IF(B212&gt;=X212,Y212,))</f>
        <v>0</v>
      </c>
      <c r="O212" s="280" t="str">
        <f>+X212&amp;"–"&amp;Z212</f>
        <v>10–20</v>
      </c>
      <c r="P212" s="276" t="str">
        <f>+"&gt;"&amp;Z212</f>
        <v>&gt;20</v>
      </c>
      <c r="Q212" s="322"/>
      <c r="R212" s="322"/>
      <c r="S212" s="322"/>
      <c r="T212" s="322"/>
      <c r="U212" s="277"/>
      <c r="V212" s="252"/>
      <c r="W212" s="252"/>
      <c r="X212" s="252">
        <v>10</v>
      </c>
      <c r="Y212" s="253">
        <v>0.5</v>
      </c>
      <c r="Z212" s="252">
        <v>20</v>
      </c>
      <c r="AA212" s="253">
        <v>1</v>
      </c>
      <c r="AB212" s="252"/>
      <c r="AC212" s="253"/>
      <c r="AD212" s="252"/>
      <c r="AE212" s="253"/>
      <c r="AF212" s="252"/>
      <c r="AG212" s="253"/>
      <c r="AH212" s="252"/>
      <c r="AI212" s="253"/>
    </row>
    <row r="213" spans="1:40" ht="6.6" customHeight="1">
      <c r="D213" s="232"/>
      <c r="E213" s="232"/>
      <c r="F213" s="232"/>
      <c r="G213" s="232"/>
      <c r="H213" s="232"/>
      <c r="N213" s="233"/>
      <c r="O213" s="276"/>
      <c r="P213" s="276"/>
      <c r="Q213" s="276"/>
      <c r="R213" s="276"/>
      <c r="S213" s="276"/>
      <c r="T213" s="276"/>
      <c r="U213" s="286"/>
    </row>
    <row r="214" spans="1:40" s="224" customFormat="1" ht="15.95" customHeight="1" outlineLevel="1">
      <c r="A214" s="222">
        <v>15</v>
      </c>
      <c r="B214" s="248" t="s">
        <v>176</v>
      </c>
      <c r="E214" s="248"/>
      <c r="F214" s="248"/>
      <c r="G214" s="248"/>
      <c r="H214" s="248"/>
      <c r="I214" s="248"/>
      <c r="J214" s="248"/>
      <c r="K214" s="248"/>
      <c r="L214" s="248"/>
      <c r="M214" s="225"/>
      <c r="N214" s="226"/>
      <c r="O214" s="345"/>
      <c r="P214" s="345"/>
      <c r="Q214" s="345"/>
      <c r="R214" s="345"/>
      <c r="S214" s="345"/>
      <c r="T214" s="345"/>
      <c r="U214" s="346"/>
      <c r="V214" s="347"/>
      <c r="W214" s="347"/>
      <c r="X214" s="252"/>
      <c r="Y214" s="253"/>
      <c r="Z214" s="252"/>
      <c r="AA214" s="253"/>
      <c r="AB214" s="252"/>
      <c r="AC214" s="253"/>
      <c r="AD214" s="252"/>
      <c r="AE214" s="253"/>
      <c r="AF214" s="252"/>
      <c r="AG214" s="253"/>
      <c r="AH214" s="252"/>
      <c r="AI214" s="253"/>
    </row>
    <row r="215" spans="1:40" s="224" customFormat="1" ht="15.95" customHeight="1" outlineLevel="1">
      <c r="C215" s="224" t="s">
        <v>76</v>
      </c>
      <c r="M215" s="226"/>
      <c r="N215" s="226"/>
      <c r="O215" s="322"/>
      <c r="P215" s="322"/>
      <c r="Q215" s="322"/>
      <c r="R215" s="322"/>
      <c r="S215" s="322"/>
      <c r="T215" s="322"/>
      <c r="U215" s="277"/>
      <c r="V215" s="252"/>
      <c r="W215" s="252"/>
      <c r="X215" s="252"/>
      <c r="Y215" s="253"/>
      <c r="Z215" s="252"/>
      <c r="AA215" s="253"/>
      <c r="AB215" s="252"/>
      <c r="AC215" s="253"/>
      <c r="AD215" s="252"/>
      <c r="AE215" s="253"/>
      <c r="AF215" s="252"/>
      <c r="AG215" s="253"/>
      <c r="AH215" s="252"/>
      <c r="AI215" s="253"/>
    </row>
    <row r="216" spans="1:40" s="224" customFormat="1" ht="15.95" customHeight="1" outlineLevel="1">
      <c r="C216" s="224" t="s">
        <v>75</v>
      </c>
      <c r="M216" s="226"/>
      <c r="N216" s="226"/>
      <c r="O216" s="322"/>
      <c r="P216" s="322"/>
      <c r="Q216" s="322"/>
      <c r="R216" s="322"/>
      <c r="S216" s="322"/>
      <c r="T216" s="322"/>
      <c r="U216" s="277"/>
      <c r="V216" s="252"/>
      <c r="W216" s="252"/>
      <c r="X216" s="252"/>
      <c r="Y216" s="253"/>
      <c r="Z216" s="252"/>
      <c r="AA216" s="253"/>
      <c r="AB216" s="252"/>
      <c r="AC216" s="253"/>
      <c r="AD216" s="252"/>
      <c r="AE216" s="253"/>
      <c r="AF216" s="252"/>
      <c r="AG216" s="253"/>
      <c r="AH216" s="252"/>
      <c r="AI216" s="253"/>
    </row>
    <row r="217" spans="1:40" s="224" customFormat="1" ht="15.95" customHeight="1" outlineLevel="1">
      <c r="A217" s="222"/>
      <c r="C217" s="224" t="s">
        <v>19</v>
      </c>
      <c r="M217" s="487">
        <v>0</v>
      </c>
      <c r="N217" s="226"/>
      <c r="O217" s="276"/>
      <c r="P217" s="276"/>
      <c r="Q217" s="276"/>
      <c r="R217" s="276"/>
      <c r="S217" s="276"/>
      <c r="T217" s="276"/>
      <c r="U217" s="277"/>
      <c r="V217" s="252"/>
      <c r="W217" s="252"/>
      <c r="X217" s="252"/>
      <c r="Y217" s="253"/>
      <c r="Z217" s="252"/>
      <c r="AA217" s="253"/>
      <c r="AB217" s="252"/>
      <c r="AC217" s="253"/>
      <c r="AD217" s="252"/>
      <c r="AE217" s="253"/>
      <c r="AF217" s="252"/>
      <c r="AG217" s="253"/>
      <c r="AH217" s="252"/>
      <c r="AI217" s="253"/>
    </row>
    <row r="218" spans="1:40" s="64" customFormat="1" ht="6" customHeight="1" outlineLevel="1">
      <c r="A218" s="62"/>
      <c r="M218" s="124"/>
      <c r="N218" s="72"/>
      <c r="O218" s="125"/>
      <c r="P218" s="125"/>
      <c r="Q218" s="125"/>
      <c r="R218" s="125"/>
      <c r="S218" s="125"/>
      <c r="T218" s="125"/>
      <c r="U218" s="129"/>
      <c r="V218" s="91"/>
      <c r="W218" s="91"/>
      <c r="X218" s="91"/>
      <c r="Y218" s="92"/>
      <c r="Z218" s="91"/>
      <c r="AA218" s="92"/>
      <c r="AB218" s="91"/>
      <c r="AC218" s="92"/>
      <c r="AD218" s="91"/>
      <c r="AE218" s="92"/>
      <c r="AF218" s="91"/>
      <c r="AG218" s="92"/>
      <c r="AH218" s="91"/>
      <c r="AI218" s="92"/>
      <c r="AJ218" s="68"/>
      <c r="AL218" s="32"/>
      <c r="AM218" s="32"/>
      <c r="AN218" s="32"/>
    </row>
    <row r="219" spans="1:40" s="64" customFormat="1" ht="15.95" customHeight="1" outlineLevel="1">
      <c r="A219" s="62">
        <v>16</v>
      </c>
      <c r="B219" s="64" t="s">
        <v>404</v>
      </c>
      <c r="I219" s="90"/>
      <c r="M219" s="175">
        <f>+Pkt_Hofplus</f>
        <v>0</v>
      </c>
      <c r="N219" s="72"/>
      <c r="O219" s="125"/>
      <c r="P219" s="125"/>
      <c r="Q219" s="125"/>
      <c r="R219" s="125"/>
      <c r="S219" s="125"/>
      <c r="T219" s="125"/>
      <c r="U219" s="129"/>
      <c r="V219" s="91"/>
      <c r="W219" s="91"/>
      <c r="X219" s="91"/>
      <c r="Y219" s="92"/>
      <c r="Z219" s="91"/>
      <c r="AA219" s="92"/>
      <c r="AB219" s="91"/>
      <c r="AC219" s="92"/>
      <c r="AD219" s="91"/>
      <c r="AE219" s="92"/>
      <c r="AF219" s="91"/>
      <c r="AG219" s="92"/>
      <c r="AH219" s="91"/>
      <c r="AI219" s="92"/>
      <c r="AJ219" s="68"/>
      <c r="AL219" s="32"/>
      <c r="AM219" s="32"/>
      <c r="AN219" s="32"/>
    </row>
    <row r="220" spans="1:40" s="64" customFormat="1" ht="6" customHeight="1" outlineLevel="1">
      <c r="A220" s="62"/>
      <c r="B220" s="89"/>
      <c r="C220" s="72"/>
      <c r="D220" s="72"/>
      <c r="E220" s="72"/>
      <c r="F220" s="72"/>
      <c r="G220" s="72"/>
      <c r="H220" s="72"/>
      <c r="I220" s="72"/>
      <c r="J220" s="72"/>
      <c r="K220" s="72"/>
      <c r="L220" s="72"/>
      <c r="M220" s="72"/>
      <c r="N220" s="72"/>
      <c r="O220" s="125"/>
      <c r="P220" s="125"/>
      <c r="Q220" s="125"/>
      <c r="R220" s="125"/>
      <c r="S220" s="125"/>
      <c r="T220" s="125"/>
      <c r="U220" s="129"/>
      <c r="V220" s="91"/>
      <c r="W220" s="91"/>
      <c r="X220" s="91"/>
      <c r="Y220" s="92"/>
      <c r="Z220" s="91"/>
      <c r="AA220" s="92"/>
      <c r="AB220" s="91"/>
      <c r="AC220" s="92"/>
      <c r="AD220" s="91"/>
      <c r="AE220" s="92"/>
      <c r="AF220" s="91"/>
      <c r="AG220" s="92"/>
      <c r="AH220" s="91"/>
      <c r="AI220" s="92"/>
      <c r="AJ220" s="68"/>
      <c r="AL220" s="32"/>
      <c r="AM220" s="32"/>
      <c r="AN220" s="32"/>
    </row>
    <row r="221" spans="1:40" s="64" customFormat="1" ht="15.95" customHeight="1" outlineLevel="1">
      <c r="A221" s="62">
        <v>17</v>
      </c>
      <c r="B221" s="64" t="s">
        <v>405</v>
      </c>
      <c r="C221" s="132"/>
      <c r="G221" s="154"/>
      <c r="M221" s="163">
        <f>Gemüse!G81</f>
        <v>0</v>
      </c>
      <c r="N221" s="72"/>
      <c r="O221" s="125"/>
      <c r="P221" s="125"/>
      <c r="Q221" s="125"/>
      <c r="R221" s="125"/>
      <c r="S221" s="125"/>
      <c r="T221" s="125"/>
      <c r="U221" s="129"/>
      <c r="V221" s="91"/>
      <c r="W221" s="91"/>
      <c r="X221" s="91"/>
      <c r="Y221" s="92"/>
      <c r="Z221" s="91"/>
      <c r="AA221" s="92"/>
      <c r="AB221" s="91"/>
      <c r="AC221" s="92"/>
      <c r="AD221" s="91"/>
      <c r="AE221" s="92"/>
      <c r="AF221" s="91"/>
      <c r="AG221" s="92"/>
      <c r="AH221" s="91"/>
      <c r="AI221" s="92"/>
      <c r="AK221" s="32"/>
      <c r="AL221" s="32"/>
      <c r="AM221" s="32"/>
      <c r="AN221" s="32"/>
    </row>
    <row r="222" spans="1:40" s="64" customFormat="1" ht="6" customHeight="1" outlineLevel="1">
      <c r="A222" s="72"/>
      <c r="B222" s="89"/>
      <c r="C222" s="72"/>
      <c r="D222" s="72"/>
      <c r="E222" s="72"/>
      <c r="F222" s="72"/>
      <c r="G222" s="72"/>
      <c r="H222" s="72"/>
      <c r="I222" s="72"/>
      <c r="J222" s="72"/>
      <c r="K222" s="72"/>
      <c r="L222" s="72"/>
      <c r="M222" s="72"/>
      <c r="N222" s="72"/>
      <c r="O222" s="125"/>
      <c r="P222" s="125"/>
      <c r="Q222" s="125"/>
      <c r="R222" s="125"/>
      <c r="S222" s="125"/>
      <c r="T222" s="125"/>
      <c r="U222" s="129"/>
      <c r="V222" s="91"/>
      <c r="W222" s="91"/>
      <c r="X222" s="91"/>
      <c r="Y222" s="92"/>
      <c r="Z222" s="91"/>
      <c r="AA222" s="92"/>
      <c r="AB222" s="91"/>
      <c r="AC222" s="92"/>
      <c r="AD222" s="91"/>
      <c r="AE222" s="92"/>
      <c r="AF222" s="91"/>
      <c r="AG222" s="92"/>
      <c r="AH222" s="91"/>
      <c r="AI222" s="92"/>
      <c r="AL222" s="32"/>
      <c r="AM222" s="32"/>
      <c r="AN222" s="32"/>
    </row>
    <row r="223" spans="1:40" s="64" customFormat="1" ht="15.95" customHeight="1" outlineLevel="1">
      <c r="A223" s="62">
        <v>18</v>
      </c>
      <c r="B223" s="64" t="s">
        <v>406</v>
      </c>
      <c r="C223" s="132"/>
      <c r="I223" s="154"/>
      <c r="M223" s="163">
        <f>+Reben!E30</f>
        <v>0</v>
      </c>
      <c r="N223" s="72"/>
      <c r="O223" s="125"/>
      <c r="P223" s="125"/>
      <c r="Q223" s="125"/>
      <c r="R223" s="125"/>
      <c r="S223" s="125"/>
      <c r="T223" s="125"/>
      <c r="U223" s="129"/>
      <c r="V223" s="91"/>
      <c r="W223" s="91"/>
      <c r="X223" s="91"/>
      <c r="Y223" s="92"/>
      <c r="Z223" s="91"/>
      <c r="AA223" s="92"/>
      <c r="AB223" s="91"/>
      <c r="AC223" s="92"/>
      <c r="AD223" s="91"/>
      <c r="AE223" s="92"/>
      <c r="AF223" s="91"/>
      <c r="AG223" s="92"/>
      <c r="AH223" s="91"/>
      <c r="AI223" s="92"/>
      <c r="AK223" s="32"/>
      <c r="AL223" s="32"/>
      <c r="AM223" s="32"/>
      <c r="AN223" s="32"/>
    </row>
    <row r="224" spans="1:40" ht="6" customHeight="1" outlineLevel="1">
      <c r="D224" s="232"/>
      <c r="E224" s="232"/>
      <c r="F224" s="232"/>
      <c r="G224" s="232"/>
      <c r="H224" s="232"/>
      <c r="N224" s="233"/>
      <c r="O224" s="276"/>
      <c r="P224" s="276"/>
      <c r="Q224" s="276"/>
      <c r="R224" s="276"/>
      <c r="S224" s="276"/>
      <c r="T224" s="276"/>
      <c r="U224" s="286"/>
    </row>
    <row r="225" spans="1:79" s="272" customFormat="1" ht="20.100000000000001" customHeight="1" outlineLevel="1">
      <c r="A225" s="271" t="s">
        <v>166</v>
      </c>
      <c r="C225" s="271"/>
      <c r="N225" s="318">
        <f>+SUM(M191:M224)</f>
        <v>0</v>
      </c>
      <c r="O225" s="275"/>
      <c r="P225" s="275"/>
      <c r="Q225" s="275"/>
      <c r="R225" s="275"/>
      <c r="S225" s="275"/>
      <c r="T225" s="275"/>
      <c r="U225" s="292"/>
      <c r="V225" s="234"/>
      <c r="W225" s="234"/>
      <c r="X225" s="229"/>
      <c r="Y225" s="230"/>
      <c r="Z225" s="229"/>
      <c r="AA225" s="230"/>
      <c r="AB225" s="229"/>
      <c r="AC225" s="230"/>
      <c r="AD225" s="229"/>
      <c r="AE225" s="230"/>
      <c r="AF225" s="229"/>
      <c r="AG225" s="230"/>
      <c r="AH225" s="229"/>
      <c r="AI225" s="230"/>
      <c r="AJ225" s="292"/>
      <c r="AK225" s="292"/>
      <c r="AL225" s="292"/>
      <c r="AM225" s="292"/>
      <c r="AN225" s="292"/>
      <c r="AO225" s="292"/>
      <c r="AP225" s="292"/>
      <c r="AQ225" s="292"/>
      <c r="AR225" s="292"/>
      <c r="AS225" s="292"/>
      <c r="AT225" s="292"/>
      <c r="AU225" s="292"/>
      <c r="AV225" s="292"/>
      <c r="AW225" s="292"/>
      <c r="AX225" s="292"/>
      <c r="AY225" s="292"/>
      <c r="AZ225" s="292"/>
      <c r="BA225" s="292"/>
      <c r="BB225" s="292"/>
      <c r="BC225" s="292"/>
      <c r="BD225" s="292"/>
      <c r="BE225" s="292"/>
      <c r="BF225" s="292"/>
      <c r="BG225" s="292"/>
      <c r="BH225" s="292"/>
      <c r="BI225" s="292"/>
      <c r="BJ225" s="292"/>
      <c r="BK225" s="292"/>
      <c r="BL225" s="292"/>
      <c r="BM225" s="292"/>
      <c r="BN225" s="292"/>
      <c r="BO225" s="292"/>
      <c r="BP225" s="292"/>
      <c r="BQ225" s="292"/>
      <c r="BR225" s="292"/>
      <c r="BS225" s="292"/>
      <c r="BT225" s="292"/>
      <c r="BU225" s="292"/>
      <c r="BV225" s="292"/>
      <c r="BW225" s="292"/>
      <c r="BX225" s="292"/>
      <c r="BY225" s="292"/>
      <c r="BZ225" s="292"/>
      <c r="CA225" s="292"/>
    </row>
    <row r="226" spans="1:79" ht="6" customHeight="1">
      <c r="N226" s="233"/>
      <c r="R226" s="231"/>
      <c r="S226" s="231"/>
      <c r="T226" s="231"/>
    </row>
    <row r="227" spans="1:79" ht="15.95" customHeight="1">
      <c r="A227" s="231" t="s">
        <v>111</v>
      </c>
      <c r="C227" s="528"/>
      <c r="D227" s="528"/>
      <c r="E227" s="528"/>
      <c r="F227" s="528"/>
      <c r="G227" s="528"/>
      <c r="H227" s="528"/>
      <c r="I227" s="528"/>
      <c r="J227" s="528"/>
      <c r="K227" s="528"/>
      <c r="L227" s="528"/>
      <c r="M227" s="528"/>
      <c r="N227" s="528"/>
      <c r="O227" s="528"/>
      <c r="P227" s="528"/>
      <c r="Q227" s="528"/>
      <c r="R227" s="528"/>
      <c r="S227" s="528"/>
      <c r="T227" s="528"/>
      <c r="U227" s="528"/>
    </row>
    <row r="228" spans="1:79" ht="15.95" customHeight="1">
      <c r="C228" s="528"/>
      <c r="D228" s="528"/>
      <c r="E228" s="528"/>
      <c r="F228" s="528"/>
      <c r="G228" s="528"/>
      <c r="H228" s="528"/>
      <c r="I228" s="528"/>
      <c r="J228" s="528"/>
      <c r="K228" s="528"/>
      <c r="L228" s="528"/>
      <c r="M228" s="528"/>
      <c r="N228" s="528"/>
      <c r="O228" s="528"/>
      <c r="P228" s="528"/>
      <c r="Q228" s="528"/>
      <c r="R228" s="528"/>
      <c r="S228" s="528"/>
      <c r="T228" s="528"/>
      <c r="U228" s="528"/>
    </row>
    <row r="229" spans="1:79" ht="15.95" customHeight="1">
      <c r="C229" s="528"/>
      <c r="D229" s="528"/>
      <c r="E229" s="528"/>
      <c r="F229" s="528"/>
      <c r="G229" s="528"/>
      <c r="H229" s="528"/>
      <c r="I229" s="528"/>
      <c r="J229" s="528"/>
      <c r="K229" s="528"/>
      <c r="L229" s="528"/>
      <c r="M229" s="528"/>
      <c r="N229" s="528"/>
      <c r="O229" s="528"/>
      <c r="P229" s="528"/>
      <c r="Q229" s="528"/>
      <c r="R229" s="528"/>
      <c r="S229" s="528"/>
      <c r="T229" s="528"/>
      <c r="U229" s="528"/>
    </row>
    <row r="230" spans="1:79" ht="15.95" customHeight="1">
      <c r="C230" s="528"/>
      <c r="D230" s="528"/>
      <c r="E230" s="528"/>
      <c r="F230" s="528"/>
      <c r="G230" s="528"/>
      <c r="H230" s="528"/>
      <c r="I230" s="528"/>
      <c r="J230" s="528"/>
      <c r="K230" s="528"/>
      <c r="L230" s="528"/>
      <c r="M230" s="528"/>
      <c r="N230" s="528"/>
      <c r="O230" s="528"/>
      <c r="P230" s="528"/>
      <c r="Q230" s="528"/>
      <c r="R230" s="528"/>
      <c r="S230" s="528"/>
      <c r="T230" s="528"/>
      <c r="U230" s="528"/>
    </row>
    <row r="231" spans="1:79" ht="6" customHeight="1">
      <c r="D231" s="232"/>
      <c r="E231" s="232"/>
      <c r="F231" s="232"/>
      <c r="G231" s="232"/>
      <c r="H231" s="232"/>
      <c r="K231" s="231" t="s">
        <v>447</v>
      </c>
      <c r="L231" s="231" t="s">
        <v>447</v>
      </c>
      <c r="M231" s="233" t="s">
        <v>447</v>
      </c>
      <c r="N231" s="233"/>
    </row>
    <row r="232" spans="1:79" s="216" customFormat="1" ht="24.95" customHeight="1">
      <c r="A232" s="348" t="s">
        <v>4</v>
      </c>
      <c r="E232" s="349"/>
      <c r="F232" s="349"/>
      <c r="G232" s="349"/>
      <c r="H232" s="349"/>
      <c r="I232" s="216" t="s">
        <v>447</v>
      </c>
      <c r="J232" s="216" t="s">
        <v>447</v>
      </c>
      <c r="M232" s="218" t="s">
        <v>5</v>
      </c>
      <c r="N232" s="219">
        <f>+N128+N160+N188+N225</f>
        <v>0</v>
      </c>
      <c r="O232" s="350"/>
      <c r="P232" s="351" t="s">
        <v>188</v>
      </c>
      <c r="Q232" s="350"/>
      <c r="R232" s="350"/>
      <c r="S232" s="350"/>
      <c r="T232" s="350"/>
      <c r="V232" s="234"/>
      <c r="W232" s="234"/>
      <c r="X232" s="229"/>
      <c r="Y232" s="230"/>
      <c r="Z232" s="229"/>
      <c r="AA232" s="230"/>
      <c r="AB232" s="229"/>
      <c r="AC232" s="230"/>
      <c r="AD232" s="229"/>
      <c r="AE232" s="230"/>
      <c r="AF232" s="229"/>
      <c r="AG232" s="230"/>
      <c r="AH232" s="229"/>
      <c r="AI232" s="230"/>
    </row>
    <row r="233" spans="1:79" ht="6" customHeight="1"/>
    <row r="234" spans="1:79" ht="12.75">
      <c r="A234" s="525" t="s">
        <v>482</v>
      </c>
      <c r="B234" s="525"/>
      <c r="C234" s="525"/>
      <c r="D234" s="525"/>
      <c r="E234" s="525"/>
      <c r="F234" s="525"/>
      <c r="G234" s="525"/>
      <c r="H234" s="525"/>
      <c r="I234" s="525"/>
      <c r="J234" s="525"/>
      <c r="K234" s="525"/>
      <c r="L234" s="525"/>
      <c r="M234" s="525"/>
      <c r="N234" s="525"/>
      <c r="O234" s="525"/>
      <c r="P234" s="525"/>
      <c r="Q234" s="525"/>
      <c r="R234" s="525"/>
      <c r="S234" s="525"/>
      <c r="T234" s="525"/>
      <c r="U234" s="525"/>
    </row>
  </sheetData>
  <sheetProtection sheet="1" objects="1" scenarios="1"/>
  <mergeCells count="70">
    <mergeCell ref="C150:L150"/>
    <mergeCell ref="D151:L151"/>
    <mergeCell ref="A234:U234"/>
    <mergeCell ref="B20:N20"/>
    <mergeCell ref="C21:H21"/>
    <mergeCell ref="C23:H23"/>
    <mergeCell ref="C210:J210"/>
    <mergeCell ref="C169:K169"/>
    <mergeCell ref="C180:K180"/>
    <mergeCell ref="B197:E197"/>
    <mergeCell ref="C208:J208"/>
    <mergeCell ref="C205:J205"/>
    <mergeCell ref="C142:L142"/>
    <mergeCell ref="C152:L152"/>
    <mergeCell ref="C148:L148"/>
    <mergeCell ref="B91:F91"/>
    <mergeCell ref="C101:E101"/>
    <mergeCell ref="C102:E102"/>
    <mergeCell ref="B104:E104"/>
    <mergeCell ref="B118:E118"/>
    <mergeCell ref="B72:F72"/>
    <mergeCell ref="B73:F73"/>
    <mergeCell ref="B88:F88"/>
    <mergeCell ref="A90:N90"/>
    <mergeCell ref="B83:F83"/>
    <mergeCell ref="B77:F77"/>
    <mergeCell ref="B63:F63"/>
    <mergeCell ref="B64:F64"/>
    <mergeCell ref="B65:F65"/>
    <mergeCell ref="B68:F68"/>
    <mergeCell ref="B67:F67"/>
    <mergeCell ref="B66:F66"/>
    <mergeCell ref="C18:I18"/>
    <mergeCell ref="C31:D31"/>
    <mergeCell ref="B45:H45"/>
    <mergeCell ref="G55:H55"/>
    <mergeCell ref="B46:K46"/>
    <mergeCell ref="C40:H40"/>
    <mergeCell ref="A8:U8"/>
    <mergeCell ref="Q26:R26"/>
    <mergeCell ref="Q28:U28"/>
    <mergeCell ref="Q30:U30"/>
    <mergeCell ref="C15:H15"/>
    <mergeCell ref="C16:H16"/>
    <mergeCell ref="C26:H26"/>
    <mergeCell ref="C27:H27"/>
    <mergeCell ref="C28:H28"/>
    <mergeCell ref="C14:H14"/>
    <mergeCell ref="C13:H13"/>
    <mergeCell ref="D17:H17"/>
    <mergeCell ref="Q13:U13"/>
    <mergeCell ref="Q15:U15"/>
    <mergeCell ref="S17:U17"/>
    <mergeCell ref="C22:H22"/>
    <mergeCell ref="C227:U230"/>
    <mergeCell ref="C154:L154"/>
    <mergeCell ref="I55:J55"/>
    <mergeCell ref="C134:L134"/>
    <mergeCell ref="C144:L144"/>
    <mergeCell ref="B58:F58"/>
    <mergeCell ref="B59:F59"/>
    <mergeCell ref="B60:F60"/>
    <mergeCell ref="B61:F61"/>
    <mergeCell ref="B69:F69"/>
    <mergeCell ref="C138:L138"/>
    <mergeCell ref="C146:L146"/>
    <mergeCell ref="C136:G136"/>
    <mergeCell ref="B70:F70"/>
    <mergeCell ref="B71:F71"/>
    <mergeCell ref="B62:F62"/>
  </mergeCells>
  <dataValidations count="50">
    <dataValidation type="decimal" operator="lessThanOrEqual" allowBlank="1" showInputMessage="1" showErrorMessage="1" errorTitle="falscher Wert" error="Wert darf höchsten so gross sein wie Dauergrünland+Streueflächen" sqref="L58:L60" xr:uid="{0A7AB210-E56A-4928-B9F2-367F2B463FBF}">
      <formula1>K17</formula1>
    </dataValidation>
    <dataValidation type="decimal" operator="lessThanOrEqual" allowBlank="1" showInputMessage="1" showErrorMessage="1" errorTitle="ungültiger Wert" error="Fläche muss kleiner sein als die angemeldete Fläche!" sqref="K66" xr:uid="{FC190D1E-A998-41A3-A598-4F950903EAF1}">
      <formula1>G65</formula1>
    </dataValidation>
    <dataValidation type="decimal" operator="lessThanOrEqual" allowBlank="1" showErrorMessage="1" errorTitle="ungültiger Wert" error="Fläche darf höchstens so gross sein wie die Fläche der Nützlingsstreifen" promptTitle="Wert zu gross" prompt="Darf höchstens den Betrag der angemeldeten Nützlingsstreifen betragen" sqref="I66" xr:uid="{1AE4423D-4482-4251-A226-F79B44B00506}">
      <formula1>G65</formula1>
    </dataValidation>
    <dataValidation type="whole" operator="greaterThan" allowBlank="1" showInputMessage="1" showErrorMessage="1" errorTitle="ungültiger Wert" error="darf nicht älter als 7 Jahre sein" sqref="I199" xr:uid="{E3CDA3BA-5453-4E4B-B3CD-9A421D9D38DD}">
      <formula1>C199-8</formula1>
    </dataValidation>
    <dataValidation type="whole" operator="greaterThan" allowBlank="1" showInputMessage="1" showErrorMessage="1" errorTitle="ungültiger Wert" error="darf nicht älter als 7 Jahre sein" sqref="E200:E202 I200:I202" xr:uid="{011ECE43-E337-461B-99DA-E499A8F5C99E}">
      <formula1>C199 -8</formula1>
    </dataValidation>
    <dataValidation type="whole" operator="greaterThan" allowBlank="1" showInputMessage="1" showErrorMessage="1" errorTitle="ungültiger Wert" error="darf nicht älter als 7 Jahre sein" sqref="E199" xr:uid="{5F637262-EBD4-4345-A2F8-C3569D23BC27}">
      <formula1>C199 - 8</formula1>
    </dataValidation>
    <dataValidation type="decimal" operator="lessThanOrEqual" allowBlank="1" showInputMessage="1" showErrorMessage="1" errorTitle="ungültiger Wert" error="darf höchsten so gross sein wie &quot;übrige Fläche&quot; (B18)!" sqref="G69" xr:uid="{2997F692-CAA1-445F-971C-5DDA138380BE}">
      <formula1>übrige_Fläche</formula1>
    </dataValidation>
    <dataValidation type="decimal" operator="lessThanOrEqual" allowBlank="1" showInputMessage="1" showErrorMessage="1" errorTitle="ungültiger Wert" error="Fläche darf höchsten so gross sein wie Dauergrünland!_x000a_" sqref="G58:G60 G70" xr:uid="{C6A60E1F-B07B-4E92-8407-34FBE1034231}">
      <formula1>DGL</formula1>
    </dataValidation>
    <dataValidation type="decimal" operator="lessThan" allowBlank="1" showInputMessage="1" showErrorMessage="1" errorTitle="ungültiger Wert" error="Fläche darf nicht grösser sein als LN!" sqref="G67" xr:uid="{3B248BEE-26B5-429E-9D0E-3E11DB4CF562}">
      <formula1>LN</formula1>
    </dataValidation>
    <dataValidation type="whole" allowBlank="1" showInputMessage="1" showErrorMessage="1" sqref="B212" xr:uid="{B62A91C1-EEAE-4BAB-86A1-FA5B4B426520}">
      <formula1>0</formula1>
      <formula2>1000</formula2>
    </dataValidation>
    <dataValidation type="decimal" operator="lessThanOrEqual" allowBlank="1" showInputMessage="1" showErrorMessage="1" errorTitle="ungültiger Wert" error="Fläche muss kleiner sein als die angemeldete Fläche!" sqref="K58:K60 K68:K71" xr:uid="{C25B0320-ED32-4768-96FC-DE7C483A2D51}">
      <formula1>G58</formula1>
    </dataValidation>
    <dataValidation type="decimal" operator="lessThanOrEqual" allowBlank="1" showInputMessage="1" showErrorMessage="1" errorTitle="falscher Wert" error="Wert darf höchsten so gross sein wie Dauergrünland+Streueflächen" sqref="H58:H60" xr:uid="{5CAB7D65-DDE6-4EDE-A40C-5F9ECAB149EA}">
      <formula1>D15</formula1>
    </dataValidation>
    <dataValidation type="whole" allowBlank="1" showInputMessage="1" showErrorMessage="1" errorTitle="ungültiger Wert" error="Bitte ganze Zahl eingeben!" sqref="G73" xr:uid="{516C53DE-0F41-42D8-BE04-1862C076AB55}">
      <formula1>0</formula1>
      <formula2>9999</formula2>
    </dataValidation>
    <dataValidation type="decimal" operator="lessThanOrEqual" allowBlank="1" showInputMessage="1" showErrorMessage="1" errorTitle="ungültiger Wert" error="Fläche muss kleiner sein als die Fläche der extensiven Weiden und Waldweiden!" sqref="I60" xr:uid="{24E6B2E2-9CCF-4037-B142-765048A53CBF}">
      <formula1>G60</formula1>
    </dataValidation>
    <dataValidation type="decimal" operator="lessThanOrEqual" allowBlank="1" showInputMessage="1" showErrorMessage="1" errorTitle="ungültiger Wert" error="Fläche muss kleiner sein als die Fläche der extensiven Wiesen!" sqref="I58" xr:uid="{B6AF11BC-6A02-4A23-B575-39CAD9504B84}">
      <formula1>G58</formula1>
    </dataValidation>
    <dataValidation type="decimal" operator="lessThanOrEqual" allowBlank="1" showInputMessage="1" showErrorMessage="1" errorTitle="ungültiger Wert" error="Fläche muss kleiner sein als die Fläche der wenig intensiven Wiesen!" sqref="I59" xr:uid="{57F88DC7-3C07-4388-B7EE-D9E62F7A1961}">
      <formula1>G59</formula1>
    </dataValidation>
    <dataValidation type="decimal" operator="lessThanOrEqual" allowBlank="1" showInputMessage="1" showErrorMessage="1" errorTitle="ungültiger Wert" error="Fläche muss kleiner sein als die Fläche der Hecken und Gehölze!" sqref="I68" xr:uid="{A1F8F7A8-A4A1-4E83-B50E-2EF9736AF397}">
      <formula1>G68</formula1>
    </dataValidation>
    <dataValidation type="whole" operator="lessThanOrEqual" allowBlank="1" showInputMessage="1" showErrorMessage="1" errorTitle="ungültiger Wert" error="Anzahl muss kleiner sein als die Anzahl der Bäume!" sqref="I73" xr:uid="{5A7535E2-BDE6-44FA-B64C-A2DB97CBBC4B}">
      <formula1>G73</formula1>
    </dataValidation>
    <dataValidation type="decimal" operator="lessThanOrEqual" allowBlank="1" showInputMessage="1" showErrorMessage="1" errorTitle="valeur invalide" error="La surface doit être inférieure à la somme des surfaces à litière annoncées et non annoncées!" sqref="L70" xr:uid="{109A0B5F-4CFC-4FEF-B12B-4F51F70BA3BA}">
      <formula1>H70+#REF!-J70</formula1>
    </dataValidation>
    <dataValidation type="decimal" operator="lessThanOrEqual" allowBlank="1" showInputMessage="1" showErrorMessage="1" errorTitle="ungültiger Wert" error="Fläche muss kleiner sein als die Fläche der Rebflächen mit  hoher Artenvielfalt!" sqref="I71" xr:uid="{9C3E6673-9BF0-4DEA-9FB4-6CDD632A4623}">
      <formula1>G71</formula1>
    </dataValidation>
    <dataValidation type="decimal" operator="lessThanOrEqual" allowBlank="1" showInputMessage="1" showErrorMessage="1" errorTitle="ungültiger Wert" error="Fläche darf höchstens so gross sein wie die Fläche von ext. Wiesen, wenig int. Wiesen, Uferwiesen und Streueflächen!" sqref="B169" xr:uid="{6E1C205C-4CC4-4171-80D8-47C525C62BCE}">
      <formula1>SUM(G58:G59, G69:G70)</formula1>
    </dataValidation>
    <dataValidation type="decimal" operator="lessThanOrEqual" allowBlank="1" showInputMessage="1" showErrorMessage="1" errorTitle="ungültiger Wert" error="Fläche darf höchstens so gross sein wie die Fläche von extensiv genutzten Wiesen + wenig intensiv genutzten Wiesen + Uferwiesen + Streueflächen!" sqref="B167" xr:uid="{76679963-F39D-4F7A-A9A4-75EBDB96D023}">
      <formula1>SUM(G58:G59, G69:G70)</formula1>
    </dataValidation>
    <dataValidation type="decimal" operator="lessThanOrEqual" allowBlank="1" showInputMessage="1" showErrorMessage="1" errorTitle="ungültiger Wert" error="Fläche darf höchstens so gross sein wie die Fläche von extensiv genutzten Wiesen + wenig intensiv genutzten Wiesen + Uferwiesen + Streueflächen!" sqref="B165" xr:uid="{35DCC3E3-FE72-4576-8C7F-80D9890A342A}">
      <formula1>SUM(G58:G59, G69:G70)</formula1>
    </dataValidation>
    <dataValidation type="decimal" operator="lessThanOrEqual" allowBlank="1" showInputMessage="1" showErrorMessage="1" errorTitle="valeur invalide" error="La surface ne doit pas être plus grande que celle des terres assolées!" sqref="I70" xr:uid="{73AC7617-B0A3-4300-BB7F-BABC83239E55}">
      <formula1>Ackerfläche</formula1>
    </dataValidation>
    <dataValidation operator="lessThanOrEqual" allowBlank="1" showInputMessage="1" showErrorMessage="1" errorTitle="ungültiger Wert" error="Fläche darf nicht grösser als LN abzüglich Dauergrünland und offener Ackerfläche sein!" sqref="B18" xr:uid="{1337ED11-8856-4F54-958E-476558C9DD48}"/>
    <dataValidation type="whole" allowBlank="1" showInputMessage="1" errorTitle="ungültiger Wert" error="Bitte ganze Zahl eingeben!_x000a_" sqref="B50" xr:uid="{7919F8D3-9885-416B-A450-F6FC0CEE3A01}">
      <formula1>1</formula1>
      <formula2>99</formula2>
    </dataValidation>
    <dataValidation type="decimal" operator="lessThanOrEqual" allowBlank="1" showInputMessage="1" showErrorMessage="1" errorTitle="ungültiger Wert" error="Fläche darf nicht grösser sein als offene Ackerfläche!" sqref="B134 B138 B140 B142 B144 B146 B136 B152 B150 B154 G61:G65 B148" xr:uid="{0C522906-8B54-4E28-ABAE-9B1A24CE35B9}">
      <formula1>offene_Ackerfläche</formula1>
    </dataValidation>
    <dataValidation allowBlank="1" showInputMessage="1" showErrorMessage="1" errorTitle="ungültiger Wert" sqref="B31" xr:uid="{F3F58070-DFCA-422B-A528-41B70B5DE310}"/>
    <dataValidation type="decimal" showInputMessage="1" showErrorMessage="1" errorTitle="ungültiger Wert" error="Maximal 3 Punkte nach Absprache mit Gutachter einsetzen!" sqref="M217 M223 M221" xr:uid="{B2030A35-A1EB-4757-8354-2E831471093D}">
      <formula1>0</formula1>
      <formula2>3</formula2>
    </dataValidation>
    <dataValidation type="decimal" operator="lessThanOrEqual" allowBlank="1" showInputMessage="1" showErrorMessage="1" errorTitle="falscher Wert" error="Fläche darf nicht grösser als LN sein!_x000a_" sqref="B193" xr:uid="{6D24F6D8-A561-4115-BF7B-2D3BC2BE3088}">
      <formula1>LN</formula1>
    </dataValidation>
    <dataValidation type="decimal" operator="lessThanOrEqual" allowBlank="1" showInputMessage="1" showErrorMessage="1" errorTitle="ungültiger Wert" error="Fläche darf höchsten so gross sein wie Total öAF inkl. Bäume (5.13)!" sqref="B100:B102" xr:uid="{4246BC83-01CA-47FF-B9FA-9F801DEE26FA}">
      <formula1>öAF_mit_Bäumen</formula1>
    </dataValidation>
    <dataValidation type="decimal" operator="lessThanOrEqual" allowBlank="1" showInputMessage="1" showErrorMessage="1" errorTitle="ungültiger Wert" error="Summe von 1.1.1 bis 1.1.3 darf nicht grösser sein als LN" sqref="B14" xr:uid="{251DC682-CE40-4E71-B88A-6290A707D412}">
      <formula1>B13-SUM(B15,B16)</formula1>
    </dataValidation>
    <dataValidation type="decimal" operator="lessThanOrEqual" allowBlank="1" showInputMessage="1" showErrorMessage="1" errorTitle="ungültiger Wert" error="Fläche darf nicht grösser als LN sein!" sqref="G72 B27:B28" xr:uid="{94A1DFBD-8320-4D20-AB83-8823EE3EA149}">
      <formula1>LN</formula1>
    </dataValidation>
    <dataValidation type="decimal" operator="lessThanOrEqual" allowBlank="1" showInputMessage="1" showErrorMessage="1" errorTitle="falscher Wert" error="Wert darf nicht grösser sein als Dauergrünland + Extensivweide - öAF auf Dauergrünland_x000a__x000a_" sqref="B182" xr:uid="{ED9C9625-D972-42A2-A679-561823681CBA}">
      <formula1>B175</formula1>
    </dataValidation>
    <dataValidation operator="lessThanOrEqual" allowBlank="1" showInputMessage="1" showErrorMessage="1" errorTitle="ungültiger Wert" sqref="I97 B208 B210 K199:K202 G199:G202" xr:uid="{73902494-E907-4EE8-92DE-886C49B6B100}"/>
    <dataValidation type="decimal" operator="lessThanOrEqual" allowBlank="1" showInputMessage="1" showErrorMessage="1" errorTitle="ungültiger Wert" error="Summe von 1.1.1 bis 1.1.3 darf nicht grösser sein als LN" sqref="B16" xr:uid="{8C723BEA-8628-4D7A-949A-2973E5D07313}">
      <formula1>B13-SUM(B14,B15)</formula1>
    </dataValidation>
    <dataValidation type="decimal" operator="lessThanOrEqual" allowBlank="1" showInputMessage="1" showErrorMessage="1" errorTitle="ungültiger Wert" error="Summe von 1.1.1 bis 1.1.3 darf nicht grösser sein als LN" sqref="B15" xr:uid="{BF1A2C24-DFC0-48BA-9124-886DBE0D3E69}">
      <formula1>B13-SUM(B14,B16)</formula1>
    </dataValidation>
    <dataValidation type="decimal" operator="lessThanOrEqual" allowBlank="1" showInputMessage="1" showErrorMessage="1" errorTitle="ungültiger Wert" error="Fläche muss kleiner sein als intensiv genutztes Grünland!" sqref="B178 B180" xr:uid="{E9F4DABD-5010-4C98-95D1-E24BF9D56BAE}">
      <formula1>B175</formula1>
    </dataValidation>
    <dataValidation type="decimal" operator="lessThanOrEqual" allowBlank="1" showInputMessage="1" showErrorMessage="1" errorTitle="ungültiger Wert" error="Fläche muss kleiner sein als intensiv genutztes Grünland!" sqref="B176" xr:uid="{F90A080F-704F-438A-9ADD-D9ECC9341672}">
      <formula1>B175</formula1>
    </dataValidation>
    <dataValidation type="decimal" operator="greaterThanOrEqual" showInputMessage="1" showErrorMessage="1" errorTitle="ungültiger Wert" error="Muss grösser oder gleich sein wie Dauergrünland + offene Ackerfläche + Kunstwiese" sqref="B13" xr:uid="{A35A8BE7-221B-40B5-9666-C645669F7F4E}">
      <formula1>K16</formula1>
    </dataValidation>
    <dataValidation type="decimal" operator="lessThanOrEqual" allowBlank="1" showInputMessage="1" showErrorMessage="1" errorTitle="ungültiger Wert" error="Wert darf nicht grösser als LN sein!" sqref="G71 G68" xr:uid="{4CEF01F7-4FA6-4A45-8570-0FBC305236AE}">
      <formula1>LN</formula1>
    </dataValidation>
    <dataValidation type="decimal" operator="lessThanOrEqual" allowBlank="1" showInputMessage="1" showErrorMessage="1" errorTitle="ungültiger Wert" error="Fläche darf höchstens so gross sein wie die Gesamtfläche des ökologischen Ausgleichs!" sqref="B115" xr:uid="{792DF8B2-CD3C-44F2-8182-7C74239D640E}">
      <formula1>öAF_ohne_Bäume</formula1>
    </dataValidation>
    <dataValidation operator="lessThanOrEqual" allowBlank="1" showInputMessage="1" showErrorMessage="1" errorTitle="ungültiger Wert" error="der Wert darf höchstens so gross sein wie die Gesamtfläche des ökologischen Ausgleichs" sqref="B207 B196:B197 B204" xr:uid="{FD844C4F-14BB-4276-BD19-A1E53B809B54}"/>
    <dataValidation type="whole" allowBlank="1" showInputMessage="1" showErrorMessage="1" errorTitle="ungültiger Wert" error="Bitte ganze Zahl eingeben!" sqref="B40" xr:uid="{504518B1-0828-47E8-B5F9-A1DF68ED9B3B}">
      <formula1>1</formula1>
      <formula2>999</formula2>
    </dataValidation>
    <dataValidation type="whole" operator="greaterThanOrEqual" allowBlank="1" showInputMessage="1" showErrorMessage="1" errorTitle="ungültiger Wert" error="Bitte ganze Zahl eingeben!" sqref="B119" xr:uid="{61FD6B4F-E8FB-49B8-AAC6-B19211396109}">
      <formula1>0</formula1>
    </dataValidation>
    <dataValidation operator="lessThanOrEqual" allowBlank="1" showInputMessage="1" showErrorMessage="1" errorTitle="ungültiger Wert" error="Summe von 1.1.1 bis 1.1.5 darf nicht grösser sien als LN" sqref="B22" xr:uid="{FFEB9694-283B-4B28-A6E3-12B9B7467084}"/>
    <dataValidation type="decimal" operator="lessThanOrEqual" allowBlank="1" showInputMessage="1" showErrorMessage="1" errorTitle="falscher Wert" error="Wert muss kleiner sein als die Summe der angemeldeten und nicht angemeldeten Buntbrachen" sqref="K65" xr:uid="{3A8D4D01-BC13-4CB1-890D-046B98182197}">
      <formula1>I65+#REF!</formula1>
    </dataValidation>
    <dataValidation type="whole" operator="lessThanOrEqual" allowBlank="1" showInputMessage="1" showErrorMessage="1" errorTitle="ungültiger Wert" error="Die Anzahl Flächen &gt;25 Aren darf  die in Punkt 5.17 angegebene Ökoflächen mit Qualität nicht übersteigen" sqref="B105" xr:uid="{26537813-19FA-44C1-B2B4-7C2FBC59D0E7}">
      <formula1>+SUM(I58:K69)/0.25</formula1>
    </dataValidation>
    <dataValidation type="decimal" operator="lessThanOrEqual" allowBlank="1" showInputMessage="1" showErrorMessage="1" errorTitle="falscher Wert" error="Wert muss kleiner sein als die Summe der angemeldeten und nicht angemeldeten Buntbrachen" sqref="K72" xr:uid="{BCA0B98C-E614-4272-AAF7-D7E2A4A5F1FB}">
      <formula1>G72+#REF!</formula1>
    </dataValidation>
    <dataValidation type="decimal" operator="lessThanOrEqual" allowBlank="1" showInputMessage="1" showErrorMessage="1" errorTitle="ungültiger Wert" error="Fläche darf nicht grösser als Fläche von extensiv genutzten Wiesen + wenig intensiv genutzten Wiesen + extensiven Weiden!" sqref="B171" xr:uid="{45575085-CB20-4B66-B9E6-F36B275B2BDC}">
      <formula1>SUM(G58:G60)</formula1>
    </dataValidation>
  </dataValidations>
  <pageMargins left="0.59055118110236227" right="0.43307086614173229" top="0.31" bottom="0.35433070866141736" header="0.39370078740157483" footer="0.15748031496062992"/>
  <pageSetup paperSize="9" scale="54" fitToHeight="0" orientation="portrait" r:id="rId1"/>
  <headerFooter alignWithMargins="0">
    <oddFooter>Seite &amp;P</oddFooter>
  </headerFooter>
  <rowBreaks count="1" manualBreakCount="1">
    <brk id="12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149" r:id="rId4" name="Check Box 53">
              <controlPr locked="0" defaultSize="0" autoFill="0" autoLine="0" autoPict="0">
                <anchor moveWithCells="1">
                  <from>
                    <xdr:col>1</xdr:col>
                    <xdr:colOff>47625</xdr:colOff>
                    <xdr:row>44</xdr:row>
                    <xdr:rowOff>66675</xdr:rowOff>
                  </from>
                  <to>
                    <xdr:col>3</xdr:col>
                    <xdr:colOff>123825</xdr:colOff>
                    <xdr:row>49</xdr:row>
                    <xdr:rowOff>171450</xdr:rowOff>
                  </to>
                </anchor>
              </controlPr>
            </control>
          </mc:Choice>
        </mc:AlternateContent>
        <mc:AlternateContent xmlns:mc="http://schemas.openxmlformats.org/markup-compatibility/2006">
          <mc:Choice Requires="x14">
            <control shapeId="4150" r:id="rId5" name="Check Box 54">
              <controlPr locked="0" defaultSize="0" autoFill="0" autoLine="0" autoPict="0">
                <anchor moveWithCells="1">
                  <from>
                    <xdr:col>4</xdr:col>
                    <xdr:colOff>28575</xdr:colOff>
                    <xdr:row>46</xdr:row>
                    <xdr:rowOff>104775</xdr:rowOff>
                  </from>
                  <to>
                    <xdr:col>6</xdr:col>
                    <xdr:colOff>485775</xdr:colOff>
                    <xdr:row>47</xdr:row>
                    <xdr:rowOff>114300</xdr:rowOff>
                  </to>
                </anchor>
              </controlPr>
            </control>
          </mc:Choice>
        </mc:AlternateContent>
        <mc:AlternateContent xmlns:mc="http://schemas.openxmlformats.org/markup-compatibility/2006">
          <mc:Choice Requires="x14">
            <control shapeId="4151" r:id="rId6" name="Check Box 55">
              <controlPr locked="0" defaultSize="0" autoFill="0" autoLine="0" autoPict="0">
                <anchor moveWithCells="1">
                  <from>
                    <xdr:col>8</xdr:col>
                    <xdr:colOff>342900</xdr:colOff>
                    <xdr:row>46</xdr:row>
                    <xdr:rowOff>104775</xdr:rowOff>
                  </from>
                  <to>
                    <xdr:col>10</xdr:col>
                    <xdr:colOff>638175</xdr:colOff>
                    <xdr:row>47</xdr:row>
                    <xdr:rowOff>114300</xdr:rowOff>
                  </to>
                </anchor>
              </controlPr>
            </control>
          </mc:Choice>
        </mc:AlternateContent>
        <mc:AlternateContent xmlns:mc="http://schemas.openxmlformats.org/markup-compatibility/2006">
          <mc:Choice Requires="x14">
            <control shapeId="4152" r:id="rId7" name="Check Box 56">
              <controlPr locked="0" defaultSize="0" autoFill="0" autoLine="0" autoPict="0">
                <anchor moveWithCells="1">
                  <from>
                    <xdr:col>1</xdr:col>
                    <xdr:colOff>47625</xdr:colOff>
                    <xdr:row>47</xdr:row>
                    <xdr:rowOff>38100</xdr:rowOff>
                  </from>
                  <to>
                    <xdr:col>2</xdr:col>
                    <xdr:colOff>314325</xdr:colOff>
                    <xdr:row>48</xdr:row>
                    <xdr:rowOff>47625</xdr:rowOff>
                  </to>
                </anchor>
              </controlPr>
            </control>
          </mc:Choice>
        </mc:AlternateContent>
        <mc:AlternateContent xmlns:mc="http://schemas.openxmlformats.org/markup-compatibility/2006">
          <mc:Choice Requires="x14">
            <control shapeId="4153" r:id="rId8" name="Check Box 57">
              <controlPr locked="0" defaultSize="0" autoFill="0" autoLine="0" autoPict="0" altText="Gemüsebau">
                <anchor moveWithCells="1">
                  <from>
                    <xdr:col>1</xdr:col>
                    <xdr:colOff>47625</xdr:colOff>
                    <xdr:row>48</xdr:row>
                    <xdr:rowOff>38100</xdr:rowOff>
                  </from>
                  <to>
                    <xdr:col>2</xdr:col>
                    <xdr:colOff>209550</xdr:colOff>
                    <xdr:row>49</xdr:row>
                    <xdr:rowOff>47625</xdr:rowOff>
                  </to>
                </anchor>
              </controlPr>
            </control>
          </mc:Choice>
        </mc:AlternateContent>
        <mc:AlternateContent xmlns:mc="http://schemas.openxmlformats.org/markup-compatibility/2006">
          <mc:Choice Requires="x14">
            <control shapeId="4154" r:id="rId9" name="Check Box 58">
              <controlPr locked="0" defaultSize="0" autoFill="0" autoLine="0" autoPict="0" altText="Rebbau">
                <anchor moveWithCells="1">
                  <from>
                    <xdr:col>8</xdr:col>
                    <xdr:colOff>342900</xdr:colOff>
                    <xdr:row>47</xdr:row>
                    <xdr:rowOff>38100</xdr:rowOff>
                  </from>
                  <to>
                    <xdr:col>10</xdr:col>
                    <xdr:colOff>361950</xdr:colOff>
                    <xdr:row>48</xdr:row>
                    <xdr:rowOff>47625</xdr:rowOff>
                  </to>
                </anchor>
              </controlPr>
            </control>
          </mc:Choice>
        </mc:AlternateContent>
        <mc:AlternateContent xmlns:mc="http://schemas.openxmlformats.org/markup-compatibility/2006">
          <mc:Choice Requires="x14">
            <control shapeId="4155" r:id="rId10" name="Check Box 59">
              <controlPr locked="0" defaultSize="0" autoFill="0" autoLine="0" autoPict="0">
                <anchor moveWithCells="1">
                  <from>
                    <xdr:col>4</xdr:col>
                    <xdr:colOff>28575</xdr:colOff>
                    <xdr:row>48</xdr:row>
                    <xdr:rowOff>28575</xdr:rowOff>
                  </from>
                  <to>
                    <xdr:col>8</xdr:col>
                    <xdr:colOff>276225</xdr:colOff>
                    <xdr:row>49</xdr:row>
                    <xdr:rowOff>57150</xdr:rowOff>
                  </to>
                </anchor>
              </controlPr>
            </control>
          </mc:Choice>
        </mc:AlternateContent>
        <mc:AlternateContent xmlns:mc="http://schemas.openxmlformats.org/markup-compatibility/2006">
          <mc:Choice Requires="x14">
            <control shapeId="4156" r:id="rId11" name="Check Box 60">
              <controlPr locked="0" defaultSize="0" autoFill="0" autoLine="0" autoPict="0" altText="Gemüsebau">
                <anchor moveWithCells="1">
                  <from>
                    <xdr:col>8</xdr:col>
                    <xdr:colOff>342900</xdr:colOff>
                    <xdr:row>48</xdr:row>
                    <xdr:rowOff>38100</xdr:rowOff>
                  </from>
                  <to>
                    <xdr:col>12</xdr:col>
                    <xdr:colOff>142875</xdr:colOff>
                    <xdr:row>49</xdr:row>
                    <xdr:rowOff>47625</xdr:rowOff>
                  </to>
                </anchor>
              </controlPr>
            </control>
          </mc:Choice>
        </mc:AlternateContent>
        <mc:AlternateContent xmlns:mc="http://schemas.openxmlformats.org/markup-compatibility/2006">
          <mc:Choice Requires="x14">
            <control shapeId="4157" r:id="rId12" name="Check Box 61">
              <controlPr locked="0" defaultSize="0" autoFill="0" autoLine="0" autoPict="0">
                <anchor moveWithCells="1">
                  <from>
                    <xdr:col>4</xdr:col>
                    <xdr:colOff>28575</xdr:colOff>
                    <xdr:row>47</xdr:row>
                    <xdr:rowOff>38100</xdr:rowOff>
                  </from>
                  <to>
                    <xdr:col>8</xdr:col>
                    <xdr:colOff>133350</xdr:colOff>
                    <xdr:row>48</xdr:row>
                    <xdr:rowOff>47625</xdr:rowOff>
                  </to>
                </anchor>
              </controlPr>
            </control>
          </mc:Choice>
        </mc:AlternateContent>
        <mc:AlternateContent xmlns:mc="http://schemas.openxmlformats.org/markup-compatibility/2006">
          <mc:Choice Requires="x14">
            <control shapeId="4158" r:id="rId13" name="Check Box 62">
              <controlPr locked="0" defaultSize="0" autoFill="0" autoLine="0" autoPict="0" altText="Gemüsebau">
                <anchor moveWithCells="1">
                  <from>
                    <xdr:col>1</xdr:col>
                    <xdr:colOff>47625</xdr:colOff>
                    <xdr:row>48</xdr:row>
                    <xdr:rowOff>38100</xdr:rowOff>
                  </from>
                  <to>
                    <xdr:col>2</xdr:col>
                    <xdr:colOff>323850</xdr:colOff>
                    <xdr:row>49</xdr:row>
                    <xdr:rowOff>47625</xdr:rowOff>
                  </to>
                </anchor>
              </controlPr>
            </control>
          </mc:Choice>
        </mc:AlternateContent>
        <mc:AlternateContent xmlns:mc="http://schemas.openxmlformats.org/markup-compatibility/2006">
          <mc:Choice Requires="x14">
            <control shapeId="4159" r:id="rId14" name="Check Box 63">
              <controlPr defaultSize="0" autoFill="0" autoLine="0" autoPict="0">
                <anchor moveWithCells="1">
                  <from>
                    <xdr:col>1</xdr:col>
                    <xdr:colOff>209550</xdr:colOff>
                    <xdr:row>204</xdr:row>
                    <xdr:rowOff>0</xdr:rowOff>
                  </from>
                  <to>
                    <xdr:col>1</xdr:col>
                    <xdr:colOff>514350</xdr:colOff>
                    <xdr:row>205</xdr:row>
                    <xdr:rowOff>19050</xdr:rowOff>
                  </to>
                </anchor>
              </controlPr>
            </control>
          </mc:Choice>
        </mc:AlternateContent>
        <mc:AlternateContent xmlns:mc="http://schemas.openxmlformats.org/markup-compatibility/2006">
          <mc:Choice Requires="x14">
            <control shapeId="4160" r:id="rId15" name="Check Box 64">
              <controlPr defaultSize="0" autoFill="0" autoLine="0" autoPict="0">
                <anchor moveWithCells="1">
                  <from>
                    <xdr:col>1</xdr:col>
                    <xdr:colOff>209550</xdr:colOff>
                    <xdr:row>204</xdr:row>
                    <xdr:rowOff>0</xdr:rowOff>
                  </from>
                  <to>
                    <xdr:col>1</xdr:col>
                    <xdr:colOff>514350</xdr:colOff>
                    <xdr:row>205</xdr:row>
                    <xdr:rowOff>19050</xdr:rowOff>
                  </to>
                </anchor>
              </controlPr>
            </control>
          </mc:Choice>
        </mc:AlternateContent>
        <mc:AlternateContent xmlns:mc="http://schemas.openxmlformats.org/markup-compatibility/2006">
          <mc:Choice Requires="x14">
            <control shapeId="4161" r:id="rId16" name="Check Box 65">
              <controlPr locked="0" defaultSize="0" autoFill="0" autoLine="0" autoPict="0">
                <anchor moveWithCells="1">
                  <from>
                    <xdr:col>1</xdr:col>
                    <xdr:colOff>209550</xdr:colOff>
                    <xdr:row>204</xdr:row>
                    <xdr:rowOff>0</xdr:rowOff>
                  </from>
                  <to>
                    <xdr:col>1</xdr:col>
                    <xdr:colOff>514350</xdr:colOff>
                    <xdr:row>205</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F73B7-F2AB-4B78-9C39-D60BEBECFA20}">
  <sheetPr>
    <tabColor theme="8" tint="0.79998168889431442"/>
    <pageSetUpPr fitToPage="1"/>
  </sheetPr>
  <dimension ref="A1:I103"/>
  <sheetViews>
    <sheetView zoomScale="140" zoomScaleNormal="140" workbookViewId="0">
      <selection activeCell="B3" sqref="B3"/>
    </sheetView>
  </sheetViews>
  <sheetFormatPr baseColWidth="10" defaultColWidth="5" defaultRowHeight="16.5" zeroHeight="1"/>
  <cols>
    <col min="1" max="1" width="6.5703125" style="410" customWidth="1"/>
    <col min="2" max="2" width="9.28515625" style="410" customWidth="1"/>
    <col min="3" max="3" width="7.7109375" style="410" customWidth="1"/>
    <col min="4" max="4" width="55.85546875" style="410" customWidth="1"/>
    <col min="5" max="5" width="55.28515625" style="410" customWidth="1"/>
    <col min="6" max="6" width="6.85546875" style="410" customWidth="1"/>
    <col min="7" max="7" width="12" style="410" customWidth="1"/>
    <col min="8" max="16384" width="5" style="410"/>
  </cols>
  <sheetData>
    <row r="1" spans="1:9" s="471" customFormat="1" ht="24.95" customHeight="1">
      <c r="A1" s="469" t="s">
        <v>374</v>
      </c>
      <c r="B1" s="469"/>
      <c r="C1" s="469"/>
      <c r="D1" s="467" t="s">
        <v>394</v>
      </c>
      <c r="E1" s="468" t="str">
        <f xml:space="preserve"> " " &amp; Pkt_Hofplus</f>
        <v xml:space="preserve"> 0</v>
      </c>
      <c r="F1" s="352">
        <f>+SUM(B3:C55)</f>
        <v>0</v>
      </c>
      <c r="G1" s="470"/>
    </row>
    <row r="2" spans="1:9" ht="6" customHeight="1">
      <c r="G2" s="409"/>
      <c r="H2" s="409"/>
      <c r="I2" s="31"/>
    </row>
    <row r="3" spans="1:9" ht="14.65" customHeight="1">
      <c r="B3" s="206">
        <v>0</v>
      </c>
      <c r="D3" s="410" t="s">
        <v>297</v>
      </c>
      <c r="G3" s="409"/>
      <c r="H3" s="409"/>
      <c r="I3" s="31"/>
    </row>
    <row r="4" spans="1:9" ht="6" customHeight="1">
      <c r="F4" s="409"/>
      <c r="G4" s="409"/>
      <c r="H4" s="409"/>
      <c r="I4" s="31"/>
    </row>
    <row r="5" spans="1:9" ht="34.5" customHeight="1">
      <c r="A5" s="31" t="s">
        <v>296</v>
      </c>
      <c r="B5" s="363" t="s">
        <v>379</v>
      </c>
      <c r="C5" s="411" t="s">
        <v>293</v>
      </c>
      <c r="D5" s="31" t="s">
        <v>295</v>
      </c>
      <c r="E5" s="31" t="s">
        <v>294</v>
      </c>
      <c r="H5" s="409"/>
      <c r="I5" s="31"/>
    </row>
    <row r="6" spans="1:9" ht="14.65" customHeight="1">
      <c r="A6" s="31"/>
      <c r="B6" s="384" t="s">
        <v>375</v>
      </c>
      <c r="C6" s="31"/>
      <c r="D6" s="31"/>
      <c r="E6" s="31"/>
      <c r="F6" s="363"/>
      <c r="G6" s="411"/>
      <c r="H6" s="409"/>
      <c r="I6" s="31"/>
    </row>
    <row r="7" spans="1:9" s="31" customFormat="1">
      <c r="A7" s="412"/>
      <c r="B7" s="412"/>
      <c r="C7" s="412"/>
      <c r="D7" s="413" t="s">
        <v>292</v>
      </c>
      <c r="E7" s="393"/>
      <c r="F7" s="414"/>
    </row>
    <row r="8" spans="1:9" s="32" customFormat="1">
      <c r="A8" s="415" t="s">
        <v>203</v>
      </c>
      <c r="B8" s="416">
        <v>0</v>
      </c>
      <c r="C8" s="417"/>
      <c r="D8" s="357" t="s">
        <v>291</v>
      </c>
      <c r="E8" s="418"/>
      <c r="G8" s="68"/>
      <c r="H8" s="31"/>
    </row>
    <row r="9" spans="1:9" s="32" customFormat="1">
      <c r="A9" s="415" t="s">
        <v>53</v>
      </c>
      <c r="B9" s="416">
        <v>0</v>
      </c>
      <c r="C9" s="417"/>
      <c r="D9" s="357" t="s">
        <v>290</v>
      </c>
      <c r="E9" s="403"/>
      <c r="G9" s="68"/>
      <c r="H9" s="31"/>
    </row>
    <row r="10" spans="1:9" s="32" customFormat="1">
      <c r="A10" s="415" t="s">
        <v>289</v>
      </c>
      <c r="B10" s="416">
        <v>0</v>
      </c>
      <c r="C10" s="417"/>
      <c r="D10" s="357" t="s">
        <v>288</v>
      </c>
      <c r="E10" s="403"/>
      <c r="G10" s="68"/>
      <c r="H10" s="31"/>
    </row>
    <row r="11" spans="1:9" s="32" customFormat="1" ht="6" customHeight="1">
      <c r="A11" s="419"/>
      <c r="B11" s="419"/>
      <c r="C11" s="419"/>
      <c r="F11" s="420"/>
      <c r="G11" s="68"/>
      <c r="H11" s="31"/>
    </row>
    <row r="12" spans="1:9" s="357" customFormat="1">
      <c r="A12" s="412"/>
      <c r="B12" s="412"/>
      <c r="C12" s="412"/>
      <c r="D12" s="413" t="s">
        <v>287</v>
      </c>
      <c r="E12" s="353"/>
      <c r="F12" s="421"/>
      <c r="G12" s="68"/>
      <c r="H12" s="31"/>
    </row>
    <row r="13" spans="1:9" s="357" customFormat="1" ht="18.75" customHeight="1">
      <c r="A13" s="357" t="s">
        <v>286</v>
      </c>
      <c r="F13" s="106"/>
      <c r="G13" s="31"/>
      <c r="H13" s="31"/>
    </row>
    <row r="14" spans="1:9" s="32" customFormat="1">
      <c r="A14" s="415"/>
      <c r="D14" s="422" t="s">
        <v>285</v>
      </c>
      <c r="E14" s="357"/>
      <c r="H14" s="31"/>
    </row>
    <row r="15" spans="1:9">
      <c r="A15" s="415" t="s">
        <v>284</v>
      </c>
      <c r="B15" s="374"/>
      <c r="C15" s="416">
        <v>0</v>
      </c>
      <c r="D15" s="357" t="s">
        <v>283</v>
      </c>
      <c r="E15" s="357" t="s">
        <v>282</v>
      </c>
      <c r="H15" s="423"/>
    </row>
    <row r="16" spans="1:9">
      <c r="A16" s="415" t="s">
        <v>281</v>
      </c>
      <c r="B16" s="374" t="s">
        <v>112</v>
      </c>
      <c r="C16" s="416">
        <v>0</v>
      </c>
      <c r="D16" s="357" t="s">
        <v>280</v>
      </c>
      <c r="E16" s="357" t="s">
        <v>279</v>
      </c>
      <c r="H16" s="423"/>
    </row>
    <row r="17" spans="1:8">
      <c r="A17" s="415" t="s">
        <v>278</v>
      </c>
      <c r="B17" s="374"/>
      <c r="C17" s="416">
        <v>0</v>
      </c>
      <c r="D17" s="357" t="s">
        <v>277</v>
      </c>
      <c r="E17" s="357" t="s">
        <v>276</v>
      </c>
      <c r="H17" s="423"/>
    </row>
    <row r="18" spans="1:8">
      <c r="A18" s="415" t="s">
        <v>275</v>
      </c>
      <c r="B18" s="374"/>
      <c r="C18" s="416">
        <v>0</v>
      </c>
      <c r="D18" s="357" t="s">
        <v>274</v>
      </c>
      <c r="E18" s="357" t="s">
        <v>273</v>
      </c>
      <c r="H18" s="423"/>
    </row>
    <row r="19" spans="1:8">
      <c r="A19" s="415" t="s">
        <v>272</v>
      </c>
      <c r="B19" s="374"/>
      <c r="C19" s="416">
        <v>0</v>
      </c>
      <c r="D19" s="357" t="s">
        <v>271</v>
      </c>
      <c r="E19" s="357" t="s">
        <v>270</v>
      </c>
      <c r="H19" s="423"/>
    </row>
    <row r="20" spans="1:8">
      <c r="A20" s="415" t="s">
        <v>269</v>
      </c>
      <c r="B20" s="374" t="s">
        <v>112</v>
      </c>
      <c r="C20" s="416">
        <v>0</v>
      </c>
      <c r="D20" s="357" t="s">
        <v>268</v>
      </c>
      <c r="E20" s="387" t="s">
        <v>267</v>
      </c>
      <c r="H20" s="423"/>
    </row>
    <row r="21" spans="1:8" ht="6" customHeight="1">
      <c r="A21" s="415"/>
      <c r="B21" s="374"/>
      <c r="C21" s="374"/>
      <c r="D21" s="32"/>
      <c r="E21" s="32"/>
      <c r="H21" s="423"/>
    </row>
    <row r="22" spans="1:8">
      <c r="A22" s="415"/>
      <c r="B22" s="374"/>
      <c r="C22" s="374"/>
      <c r="D22" s="422" t="s">
        <v>266</v>
      </c>
      <c r="E22" s="387" t="s">
        <v>265</v>
      </c>
      <c r="H22" s="423"/>
    </row>
    <row r="23" spans="1:8">
      <c r="A23" s="415" t="s">
        <v>264</v>
      </c>
      <c r="B23" s="374"/>
      <c r="C23" s="416">
        <v>0</v>
      </c>
      <c r="D23" s="357" t="s">
        <v>263</v>
      </c>
      <c r="E23" s="357" t="s">
        <v>262</v>
      </c>
      <c r="H23" s="423"/>
    </row>
    <row r="24" spans="1:8" ht="49.5">
      <c r="A24" s="415" t="s">
        <v>261</v>
      </c>
      <c r="B24" s="374"/>
      <c r="C24" s="416">
        <v>0</v>
      </c>
      <c r="D24" s="387" t="s">
        <v>260</v>
      </c>
      <c r="E24" s="387" t="s">
        <v>373</v>
      </c>
      <c r="H24" s="423"/>
    </row>
    <row r="25" spans="1:8">
      <c r="A25" s="415" t="s">
        <v>259</v>
      </c>
      <c r="B25" s="374"/>
      <c r="C25" s="416">
        <v>0</v>
      </c>
      <c r="D25" s="357" t="s">
        <v>258</v>
      </c>
      <c r="E25" s="357" t="s">
        <v>257</v>
      </c>
    </row>
    <row r="26" spans="1:8" ht="6" customHeight="1">
      <c r="A26" s="415"/>
      <c r="B26" s="374"/>
      <c r="C26" s="374"/>
      <c r="D26" s="32"/>
      <c r="E26" s="32"/>
      <c r="H26" s="423"/>
    </row>
    <row r="27" spans="1:8">
      <c r="A27" s="415"/>
      <c r="B27" s="374"/>
      <c r="C27" s="374"/>
      <c r="D27" s="422" t="s">
        <v>256</v>
      </c>
      <c r="E27" s="357"/>
      <c r="H27" s="423"/>
    </row>
    <row r="28" spans="1:8" ht="33.4" customHeight="1">
      <c r="A28" s="415" t="s">
        <v>255</v>
      </c>
      <c r="B28" s="374"/>
      <c r="C28" s="416">
        <v>0</v>
      </c>
      <c r="D28" s="387" t="s">
        <v>254</v>
      </c>
      <c r="E28" s="357" t="s">
        <v>209</v>
      </c>
    </row>
    <row r="29" spans="1:8">
      <c r="A29" s="415" t="s">
        <v>253</v>
      </c>
      <c r="B29" s="374"/>
      <c r="C29" s="416">
        <v>0</v>
      </c>
      <c r="D29" s="357" t="s">
        <v>252</v>
      </c>
      <c r="E29" s="357" t="s">
        <v>251</v>
      </c>
    </row>
    <row r="30" spans="1:8" ht="6" customHeight="1">
      <c r="A30" s="415"/>
      <c r="B30" s="374"/>
      <c r="C30" s="374"/>
      <c r="D30" s="32"/>
      <c r="E30" s="32"/>
      <c r="H30" s="423"/>
    </row>
    <row r="31" spans="1:8">
      <c r="A31" s="415"/>
      <c r="B31" s="374"/>
      <c r="C31" s="374"/>
      <c r="D31" s="422" t="s">
        <v>250</v>
      </c>
      <c r="E31" s="357"/>
      <c r="H31" s="423"/>
    </row>
    <row r="32" spans="1:8">
      <c r="A32" s="415" t="s">
        <v>249</v>
      </c>
      <c r="B32" s="374"/>
      <c r="C32" s="416">
        <v>0</v>
      </c>
      <c r="D32" s="387" t="s">
        <v>248</v>
      </c>
      <c r="E32" s="357" t="s">
        <v>247</v>
      </c>
    </row>
    <row r="33" spans="1:8" ht="6" customHeight="1">
      <c r="A33" s="415"/>
      <c r="B33" s="374"/>
      <c r="C33" s="374"/>
      <c r="D33" s="32"/>
      <c r="E33" s="32"/>
      <c r="H33" s="423"/>
    </row>
    <row r="34" spans="1:8">
      <c r="A34" s="415" t="s">
        <v>378</v>
      </c>
      <c r="B34" s="374"/>
      <c r="C34" s="374"/>
      <c r="D34" s="422" t="s">
        <v>246</v>
      </c>
      <c r="E34" s="357"/>
      <c r="H34" s="423"/>
    </row>
    <row r="35" spans="1:8">
      <c r="A35" s="415" t="s">
        <v>245</v>
      </c>
      <c r="B35" s="374"/>
      <c r="C35" s="416">
        <v>0</v>
      </c>
      <c r="D35" s="357" t="s">
        <v>244</v>
      </c>
      <c r="E35" s="357" t="s">
        <v>243</v>
      </c>
    </row>
    <row r="36" spans="1:8" ht="6" customHeight="1">
      <c r="A36" s="415"/>
      <c r="B36" s="374"/>
      <c r="C36" s="374"/>
      <c r="D36" s="32"/>
      <c r="E36" s="32"/>
      <c r="H36" s="423"/>
    </row>
    <row r="37" spans="1:8">
      <c r="A37" s="415"/>
      <c r="B37" s="374"/>
      <c r="C37" s="374"/>
      <c r="D37" s="424" t="s">
        <v>242</v>
      </c>
      <c r="E37" s="425"/>
      <c r="H37" s="423"/>
    </row>
    <row r="38" spans="1:8">
      <c r="A38" s="415" t="s">
        <v>241</v>
      </c>
      <c r="B38" s="374"/>
      <c r="C38" s="416">
        <v>0</v>
      </c>
      <c r="D38" s="387" t="s">
        <v>240</v>
      </c>
      <c r="E38" s="357" t="s">
        <v>231</v>
      </c>
    </row>
    <row r="39" spans="1:8">
      <c r="A39" s="415" t="s">
        <v>239</v>
      </c>
      <c r="B39" s="374"/>
      <c r="C39" s="416">
        <v>0</v>
      </c>
      <c r="D39" s="357" t="s">
        <v>238</v>
      </c>
      <c r="E39" s="357" t="s">
        <v>231</v>
      </c>
    </row>
    <row r="40" spans="1:8">
      <c r="A40" s="415" t="s">
        <v>237</v>
      </c>
      <c r="B40" s="374"/>
      <c r="C40" s="416">
        <v>0</v>
      </c>
      <c r="D40" s="357" t="s">
        <v>236</v>
      </c>
      <c r="E40" s="357" t="s">
        <v>231</v>
      </c>
    </row>
    <row r="41" spans="1:8">
      <c r="A41" s="415" t="s">
        <v>235</v>
      </c>
      <c r="B41" s="374"/>
      <c r="C41" s="416">
        <v>0</v>
      </c>
      <c r="D41" s="387" t="s">
        <v>234</v>
      </c>
      <c r="E41" s="357" t="s">
        <v>231</v>
      </c>
    </row>
    <row r="42" spans="1:8">
      <c r="A42" s="415" t="s">
        <v>233</v>
      </c>
      <c r="B42" s="374"/>
      <c r="C42" s="416">
        <v>0</v>
      </c>
      <c r="D42" s="357" t="s">
        <v>232</v>
      </c>
      <c r="E42" s="357" t="s">
        <v>231</v>
      </c>
    </row>
    <row r="43" spans="1:8">
      <c r="A43" s="415" t="s">
        <v>230</v>
      </c>
      <c r="B43" s="374"/>
      <c r="C43" s="416">
        <v>0</v>
      </c>
      <c r="D43" s="357" t="s">
        <v>229</v>
      </c>
      <c r="E43" s="357" t="s">
        <v>228</v>
      </c>
    </row>
    <row r="44" spans="1:8" ht="6" customHeight="1">
      <c r="A44" s="415"/>
      <c r="B44" s="374"/>
      <c r="C44" s="374"/>
      <c r="D44" s="32"/>
      <c r="E44" s="32"/>
    </row>
    <row r="45" spans="1:8">
      <c r="A45" s="415"/>
      <c r="B45" s="374"/>
      <c r="C45" s="374"/>
      <c r="D45" s="422" t="s">
        <v>227</v>
      </c>
      <c r="E45" s="357"/>
    </row>
    <row r="46" spans="1:8" ht="34.9" customHeight="1">
      <c r="A46" s="415" t="s">
        <v>226</v>
      </c>
      <c r="B46" s="374" t="s">
        <v>112</v>
      </c>
      <c r="C46" s="416">
        <v>0</v>
      </c>
      <c r="D46" s="387" t="s">
        <v>225</v>
      </c>
      <c r="E46" s="387" t="s">
        <v>224</v>
      </c>
    </row>
    <row r="47" spans="1:8">
      <c r="A47" s="415" t="s">
        <v>223</v>
      </c>
      <c r="B47" s="374" t="s">
        <v>112</v>
      </c>
      <c r="C47" s="416">
        <v>0</v>
      </c>
      <c r="D47" s="387" t="s">
        <v>222</v>
      </c>
      <c r="E47" s="387" t="s">
        <v>221</v>
      </c>
    </row>
    <row r="48" spans="1:8">
      <c r="A48" s="415" t="s">
        <v>220</v>
      </c>
      <c r="B48" s="374"/>
      <c r="C48" s="416">
        <v>0</v>
      </c>
      <c r="D48" s="357" t="s">
        <v>219</v>
      </c>
      <c r="E48" s="357" t="s">
        <v>218</v>
      </c>
    </row>
    <row r="49" spans="1:8">
      <c r="A49" s="415" t="s">
        <v>217</v>
      </c>
      <c r="B49" s="374"/>
      <c r="C49" s="416">
        <v>0</v>
      </c>
      <c r="D49" s="357" t="s">
        <v>216</v>
      </c>
      <c r="E49" s="357" t="s">
        <v>215</v>
      </c>
    </row>
    <row r="50" spans="1:8">
      <c r="A50" s="415" t="s">
        <v>214</v>
      </c>
      <c r="B50" s="374"/>
      <c r="C50" s="416">
        <v>0</v>
      </c>
      <c r="D50" s="357" t="s">
        <v>213</v>
      </c>
      <c r="E50" s="357" t="s">
        <v>212</v>
      </c>
    </row>
    <row r="51" spans="1:8">
      <c r="A51" s="415" t="s">
        <v>211</v>
      </c>
      <c r="B51" s="374"/>
      <c r="C51" s="416">
        <v>0</v>
      </c>
      <c r="D51" s="357" t="s">
        <v>210</v>
      </c>
      <c r="E51" s="357" t="s">
        <v>209</v>
      </c>
    </row>
    <row r="52" spans="1:8" ht="6" customHeight="1">
      <c r="A52" s="415"/>
      <c r="B52" s="374"/>
      <c r="D52" s="32"/>
      <c r="E52" s="32"/>
    </row>
    <row r="53" spans="1:8">
      <c r="A53" s="415"/>
      <c r="B53" s="374"/>
      <c r="D53" s="422" t="s">
        <v>208</v>
      </c>
      <c r="E53" s="357"/>
    </row>
    <row r="54" spans="1:8">
      <c r="A54" s="415" t="s">
        <v>207</v>
      </c>
      <c r="B54" s="374"/>
      <c r="C54" s="416">
        <v>0</v>
      </c>
      <c r="D54" s="387" t="s">
        <v>206</v>
      </c>
      <c r="E54" s="357" t="s">
        <v>205</v>
      </c>
    </row>
    <row r="55" spans="1:8" s="32" customFormat="1" ht="6" customHeight="1">
      <c r="A55" s="426"/>
      <c r="B55" s="426"/>
      <c r="C55" s="426"/>
      <c r="D55" s="398"/>
      <c r="E55" s="31"/>
      <c r="G55" s="427"/>
      <c r="H55" s="31"/>
    </row>
    <row r="56" spans="1:8" s="32" customFormat="1" ht="18" customHeight="1">
      <c r="A56" s="426"/>
      <c r="B56" s="428">
        <f>SUM(B8:B10)</f>
        <v>0</v>
      </c>
      <c r="C56" s="68"/>
      <c r="D56" s="398" t="s">
        <v>376</v>
      </c>
      <c r="E56" s="68" t="str">
        <f>IF(B56=3,"", "Es müssen alle 3 Grundauflagen erfüllt sein, um Punkte zu generieren")</f>
        <v>Es müssen alle 3 Grundauflagen erfüllt sein, um Punkte zu generieren</v>
      </c>
      <c r="G56" s="427"/>
      <c r="H56" s="31"/>
    </row>
    <row r="57" spans="1:8" s="32" customFormat="1" ht="18" customHeight="1">
      <c r="A57" s="426"/>
      <c r="B57" s="429"/>
      <c r="C57" s="429">
        <f>SUM(C15:C54)</f>
        <v>0</v>
      </c>
      <c r="D57" s="398" t="s">
        <v>377</v>
      </c>
      <c r="G57" s="427"/>
      <c r="H57" s="31"/>
    </row>
    <row r="58" spans="1:8" s="32" customFormat="1" ht="6" customHeight="1">
      <c r="A58" s="426"/>
      <c r="B58" s="426"/>
      <c r="C58" s="426"/>
      <c r="D58" s="398"/>
      <c r="E58" s="31"/>
      <c r="G58" s="427"/>
      <c r="H58" s="31"/>
    </row>
    <row r="59" spans="1:8" s="35" customFormat="1" ht="22.5" customHeight="1">
      <c r="A59" s="14" t="s">
        <v>204</v>
      </c>
      <c r="B59" s="14"/>
      <c r="C59" s="14"/>
      <c r="D59" s="14"/>
      <c r="E59" s="34">
        <f>IF(B3&gt;0,B3,IF(SUM(B8:B10)&lt;&gt;3,0,IF(C57&lt;10,"0",IF(C57&lt;14,"0.5",IF(C57&lt;18,"1.0",IF(C57&gt;17,1.5))))))</f>
        <v>0</v>
      </c>
      <c r="F59" s="464"/>
      <c r="G59" s="36" t="str">
        <f>IF(OR(F11&lt;&gt;3,C57&lt;10),"",IF(C57&gt;17,"Gold",IF(C57&gt;13,"Silber","Bronze")))</f>
        <v/>
      </c>
      <c r="H59" s="430"/>
    </row>
    <row r="60" spans="1:8" s="32" customFormat="1" ht="6" customHeight="1">
      <c r="A60" s="31"/>
      <c r="B60" s="31"/>
      <c r="C60" s="31"/>
      <c r="D60" s="31"/>
      <c r="E60" s="33"/>
      <c r="G60" s="33"/>
      <c r="H60" s="31"/>
    </row>
    <row r="61" spans="1:8" ht="15.95" customHeight="1">
      <c r="A61" s="537" t="s">
        <v>432</v>
      </c>
      <c r="B61" s="537"/>
      <c r="C61" s="537"/>
      <c r="D61" s="537"/>
      <c r="E61" s="537"/>
      <c r="F61" s="537"/>
      <c r="H61" s="409"/>
    </row>
    <row r="62" spans="1:8" ht="14.65" customHeight="1">
      <c r="E62" s="374"/>
      <c r="F62" s="423"/>
      <c r="G62" s="423"/>
      <c r="H62" s="423"/>
    </row>
    <row r="63" spans="1:8" ht="15.4" customHeight="1">
      <c r="E63" s="32"/>
      <c r="G63" s="409"/>
      <c r="H63" s="409"/>
    </row>
    <row r="64" spans="1:8" ht="14.65" customHeight="1">
      <c r="G64" s="409"/>
      <c r="H64" s="409"/>
    </row>
    <row r="65" spans="7:8">
      <c r="G65" s="409"/>
      <c r="H65" s="409"/>
    </row>
    <row r="66" spans="7:8">
      <c r="G66" s="409"/>
      <c r="H66" s="409"/>
    </row>
    <row r="67" spans="7:8">
      <c r="G67" s="409"/>
      <c r="H67" s="409"/>
    </row>
    <row r="68" spans="7:8">
      <c r="G68" s="409"/>
      <c r="H68" s="409"/>
    </row>
    <row r="69" spans="7:8" hidden="1">
      <c r="G69" s="409"/>
      <c r="H69" s="409"/>
    </row>
    <row r="70" spans="7:8">
      <c r="G70" s="409"/>
      <c r="H70" s="409"/>
    </row>
    <row r="71" spans="7:8">
      <c r="G71" s="409"/>
      <c r="H71" s="409"/>
    </row>
    <row r="72" spans="7:8">
      <c r="G72" s="409"/>
      <c r="H72" s="409"/>
    </row>
    <row r="73" spans="7:8">
      <c r="G73" s="409"/>
      <c r="H73" s="409"/>
    </row>
    <row r="74" spans="7:8" hidden="1">
      <c r="G74" s="409"/>
      <c r="H74" s="409"/>
    </row>
    <row r="75" spans="7:8" hidden="1">
      <c r="G75" s="409"/>
      <c r="H75" s="409"/>
    </row>
    <row r="76" spans="7:8"/>
    <row r="77" spans="7:8"/>
    <row r="78" spans="7:8"/>
    <row r="79" spans="7:8"/>
    <row r="80" spans="7:8"/>
    <row r="81"/>
    <row r="82"/>
    <row r="83"/>
    <row r="84"/>
    <row r="85"/>
    <row r="86"/>
    <row r="87"/>
    <row r="88"/>
    <row r="89"/>
    <row r="90"/>
    <row r="91"/>
    <row r="92"/>
    <row r="93"/>
    <row r="94"/>
    <row r="95"/>
    <row r="96"/>
    <row r="97"/>
    <row r="98"/>
    <row r="99"/>
    <row r="100"/>
    <row r="101"/>
    <row r="102"/>
    <row r="103"/>
  </sheetData>
  <sheetProtection sheet="1" selectLockedCells="1"/>
  <mergeCells count="1">
    <mergeCell ref="A61:F61"/>
  </mergeCells>
  <conditionalFormatting sqref="G59:G60">
    <cfRule type="cellIs" dxfId="14" priority="1" operator="equal">
      <formula>"Gold"</formula>
    </cfRule>
    <cfRule type="cellIs" dxfId="13" priority="2" operator="equal">
      <formula>"Silber"</formula>
    </cfRule>
    <cfRule type="cellIs" dxfId="12" priority="3" operator="equal">
      <formula>"Bronze"</formula>
    </cfRule>
  </conditionalFormatting>
  <dataValidations count="2">
    <dataValidation type="decimal" showInputMessage="1" showErrorMessage="1" errorTitle="ungültiger Wert" error="0, 0.5, 1 oder 1.5 sind möglich" sqref="B3" xr:uid="{41E2221B-E18B-450C-BC61-CD43193302C8}">
      <formula1>0</formula1>
      <formula2>1.5</formula2>
    </dataValidation>
    <dataValidation type="whole" allowBlank="1" showInputMessage="1" showErrorMessage="1" errorTitle="ungültige Eingabe" error="trifft zu: 1 einfüllen_x000a_trifft nicht zu: 0 einfüllen_x000a_" sqref="C54 C46:C51 C38:C43 C35 C32 C28:C29 C23:C25 C15:C20 B8:B10" xr:uid="{C6282F81-1F9C-4C2B-9744-6C3DE0C7A048}">
      <formula1>0</formula1>
      <formula2>1</formula2>
    </dataValidation>
  </dataValidations>
  <pageMargins left="0.70866141732283472" right="0.70866141732283472" top="0.74803149606299213" bottom="0.74803149606299213" header="0.31496062992125984" footer="0.31496062992125984"/>
  <pageSetup paperSize="9" scale="53" fitToHeight="0" orientation="portrait" r:id="rId1"/>
  <headerFooter>
    <oddFooter>&amp;L&amp;9Auteurs: Markus Jenny, Jael Hoffmann, IPS&amp;C&amp;9&amp;Z&amp;F&amp;R&amp;9Vérsion 5.6.2018</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81FD5-CD67-44B5-83E1-AD4FA1785A8B}">
  <sheetPr>
    <tabColor theme="8" tint="0.79998168889431442"/>
  </sheetPr>
  <dimension ref="A1:T83"/>
  <sheetViews>
    <sheetView zoomScale="140" zoomScaleNormal="140" workbookViewId="0">
      <pane ySplit="1" topLeftCell="A2" activePane="bottomLeft" state="frozen"/>
      <selection pane="bottomLeft" activeCell="B3" sqref="B3"/>
    </sheetView>
  </sheetViews>
  <sheetFormatPr baseColWidth="10" defaultRowHeight="15.95" customHeight="1"/>
  <cols>
    <col min="1" max="1" width="6.140625" style="356" customWidth="1"/>
    <col min="2" max="2" width="10.5703125" style="356" customWidth="1"/>
    <col min="3" max="3" width="52.42578125" style="356" customWidth="1"/>
    <col min="4" max="4" width="11.42578125" style="356"/>
    <col min="5" max="5" width="2.7109375" style="356" customWidth="1"/>
    <col min="6" max="6" width="11.42578125" style="385"/>
    <col min="7" max="7" width="7.85546875" style="356" customWidth="1"/>
    <col min="8" max="11" width="9.7109375" style="356" customWidth="1"/>
    <col min="12" max="12" width="8" style="356" bestFit="1" customWidth="1"/>
    <col min="13" max="13" width="8" style="29" hidden="1" customWidth="1"/>
    <col min="14" max="14" width="6" style="30" hidden="1" customWidth="1"/>
    <col min="15" max="15" width="8" style="29" hidden="1" customWidth="1"/>
    <col min="16" max="16" width="6" style="30" hidden="1" customWidth="1"/>
    <col min="17" max="17" width="8" style="29" hidden="1" customWidth="1"/>
    <col min="18" max="18" width="6" style="30" hidden="1" customWidth="1"/>
    <col min="19" max="19" width="8" style="29" hidden="1" customWidth="1"/>
    <col min="20" max="20" width="6" style="30" hidden="1" customWidth="1"/>
    <col min="21" max="16384" width="11.42578125" style="356"/>
  </cols>
  <sheetData>
    <row r="1" spans="1:20" s="488" customFormat="1" ht="24.95" customHeight="1">
      <c r="A1" s="485" t="s">
        <v>298</v>
      </c>
      <c r="B1" s="473"/>
      <c r="C1" s="473"/>
      <c r="D1" s="473"/>
      <c r="E1" s="473"/>
      <c r="F1" s="472"/>
      <c r="G1" s="474"/>
      <c r="H1" s="465" t="s">
        <v>392</v>
      </c>
      <c r="I1" s="484">
        <f>+I81</f>
        <v>0</v>
      </c>
      <c r="J1" s="475"/>
      <c r="K1" s="475"/>
      <c r="L1" s="352">
        <f>+SUM(B3:B75)+COUNTA(D60:F60,D64:F64,D68:F68,D72:F72,D76:F76)</f>
        <v>0</v>
      </c>
    </row>
    <row r="2" spans="1:20" ht="6" customHeight="1">
      <c r="A2" s="355"/>
      <c r="B2" s="355"/>
      <c r="C2" s="355"/>
      <c r="E2" s="355"/>
      <c r="F2" s="355"/>
      <c r="G2" s="357"/>
      <c r="H2" s="357"/>
      <c r="I2" s="357"/>
      <c r="J2" s="357"/>
      <c r="K2" s="357"/>
      <c r="L2" s="357"/>
    </row>
    <row r="3" spans="1:20" ht="15.95" customHeight="1">
      <c r="A3" s="355"/>
      <c r="B3" s="164">
        <v>0</v>
      </c>
      <c r="C3" s="358" t="s">
        <v>314</v>
      </c>
      <c r="F3" s="359"/>
      <c r="G3" s="64"/>
      <c r="H3" s="357"/>
      <c r="I3" s="357"/>
      <c r="J3" s="357"/>
      <c r="K3" s="357"/>
      <c r="L3" s="357"/>
    </row>
    <row r="4" spans="1:20" ht="6" customHeight="1">
      <c r="A4" s="355"/>
      <c r="B4" s="355"/>
      <c r="C4" s="355"/>
      <c r="F4" s="360"/>
      <c r="G4" s="110"/>
      <c r="H4" s="357"/>
      <c r="I4" s="357"/>
      <c r="J4" s="357"/>
      <c r="K4" s="357"/>
      <c r="L4" s="357"/>
    </row>
    <row r="5" spans="1:20" ht="15.95" customHeight="1">
      <c r="A5" s="355"/>
      <c r="B5" s="164">
        <v>0</v>
      </c>
      <c r="C5" s="361" t="s">
        <v>315</v>
      </c>
      <c r="F5" s="359"/>
      <c r="G5" s="361"/>
      <c r="H5" s="357"/>
      <c r="I5" s="357"/>
      <c r="J5" s="357"/>
      <c r="K5" s="357"/>
      <c r="L5" s="357"/>
    </row>
    <row r="6" spans="1:20" ht="6" customHeight="1">
      <c r="A6" s="355"/>
      <c r="B6" s="355"/>
      <c r="C6" s="355"/>
      <c r="E6" s="355"/>
      <c r="F6" s="355"/>
      <c r="G6" s="357"/>
      <c r="H6" s="357"/>
      <c r="I6" s="357"/>
      <c r="J6" s="357"/>
      <c r="K6" s="357"/>
      <c r="L6" s="357"/>
    </row>
    <row r="7" spans="1:20" ht="20.100000000000001" customHeight="1">
      <c r="A7" s="14" t="s">
        <v>424</v>
      </c>
      <c r="B7" s="14"/>
      <c r="C7" s="14"/>
      <c r="D7" s="14"/>
      <c r="E7" s="14"/>
      <c r="F7" s="504" t="s">
        <v>9</v>
      </c>
      <c r="G7" s="14"/>
      <c r="H7" s="495" t="s">
        <v>16</v>
      </c>
      <c r="I7" s="495" t="s">
        <v>10</v>
      </c>
      <c r="J7" s="495" t="s">
        <v>17</v>
      </c>
      <c r="K7" s="495" t="s">
        <v>11</v>
      </c>
      <c r="L7" s="495" t="s">
        <v>15</v>
      </c>
      <c r="M7" s="356"/>
      <c r="N7" s="356"/>
      <c r="O7" s="356"/>
      <c r="P7" s="356"/>
      <c r="Q7" s="356"/>
      <c r="R7" s="356"/>
      <c r="S7" s="356"/>
      <c r="T7" s="356"/>
    </row>
    <row r="8" spans="1:20" ht="6" customHeight="1">
      <c r="A8" s="94"/>
      <c r="B8" s="362"/>
      <c r="C8" s="362"/>
      <c r="D8" s="363"/>
      <c r="E8" s="31"/>
      <c r="F8" s="378"/>
      <c r="G8" s="357"/>
      <c r="H8" s="369"/>
      <c r="I8" s="369"/>
      <c r="J8" s="369"/>
      <c r="K8" s="369"/>
      <c r="L8" s="369"/>
      <c r="M8" s="364" t="s">
        <v>79</v>
      </c>
      <c r="N8" s="365" t="s">
        <v>80</v>
      </c>
      <c r="O8" s="364" t="s">
        <v>81</v>
      </c>
      <c r="P8" s="365" t="s">
        <v>82</v>
      </c>
      <c r="Q8" s="364" t="s">
        <v>83</v>
      </c>
      <c r="R8" s="365" t="s">
        <v>84</v>
      </c>
      <c r="S8" s="364" t="s">
        <v>85</v>
      </c>
      <c r="T8" s="365" t="s">
        <v>86</v>
      </c>
    </row>
    <row r="9" spans="1:20" ht="15.95" customHeight="1">
      <c r="A9" s="94" t="s">
        <v>449</v>
      </c>
      <c r="B9" s="366">
        <v>0</v>
      </c>
      <c r="C9" s="539" t="s">
        <v>359</v>
      </c>
      <c r="D9" s="539"/>
      <c r="E9" s="357"/>
      <c r="F9" s="368">
        <f>+IF(B9=O9,P9,IF(B9=Q9,R9,IF(B9=S9,T9,0)))</f>
        <v>0</v>
      </c>
      <c r="G9" s="357"/>
      <c r="H9" s="369"/>
      <c r="I9" s="369">
        <f>O9</f>
        <v>2</v>
      </c>
      <c r="J9" s="369">
        <f>Q9</f>
        <v>3</v>
      </c>
      <c r="K9" s="369">
        <f>S9</f>
        <v>4</v>
      </c>
      <c r="L9" s="369" t="s">
        <v>102</v>
      </c>
      <c r="M9" s="370"/>
      <c r="N9" s="371"/>
      <c r="O9" s="372">
        <v>2</v>
      </c>
      <c r="P9" s="373">
        <v>1</v>
      </c>
      <c r="Q9" s="372">
        <v>3</v>
      </c>
      <c r="R9" s="373">
        <v>1.5</v>
      </c>
      <c r="S9" s="372">
        <v>4</v>
      </c>
      <c r="T9" s="373">
        <v>2</v>
      </c>
    </row>
    <row r="10" spans="1:20" ht="49.5" customHeight="1">
      <c r="A10" s="94"/>
      <c r="B10" s="357"/>
      <c r="C10" s="540" t="s">
        <v>358</v>
      </c>
      <c r="D10" s="540"/>
      <c r="E10" s="357"/>
      <c r="F10" s="68"/>
      <c r="G10" s="357"/>
      <c r="H10" s="369"/>
      <c r="I10" s="369"/>
      <c r="J10" s="369"/>
      <c r="K10" s="369"/>
      <c r="L10" s="369"/>
      <c r="M10" s="370"/>
      <c r="N10" s="371"/>
      <c r="O10" s="372"/>
      <c r="P10" s="373"/>
      <c r="Q10" s="372"/>
      <c r="R10" s="373"/>
      <c r="S10" s="372"/>
      <c r="T10" s="373"/>
    </row>
    <row r="11" spans="1:20" ht="6" customHeight="1">
      <c r="A11" s="94"/>
      <c r="B11" s="357"/>
      <c r="C11" s="374"/>
      <c r="D11" s="357"/>
      <c r="E11" s="357"/>
      <c r="F11" s="68"/>
      <c r="G11" s="357"/>
      <c r="H11" s="369"/>
      <c r="I11" s="369"/>
      <c r="J11" s="369"/>
      <c r="K11" s="369"/>
      <c r="L11" s="369"/>
      <c r="M11" s="372"/>
      <c r="N11" s="373"/>
      <c r="O11" s="372"/>
      <c r="P11" s="373"/>
      <c r="Q11" s="372"/>
      <c r="R11" s="373"/>
      <c r="S11" s="372"/>
      <c r="T11" s="373"/>
    </row>
    <row r="12" spans="1:20" ht="15.75" customHeight="1">
      <c r="A12" s="94" t="s">
        <v>450</v>
      </c>
      <c r="B12" s="164">
        <v>0</v>
      </c>
      <c r="C12" s="499" t="s">
        <v>307</v>
      </c>
      <c r="E12" s="357"/>
      <c r="F12" s="368">
        <f>+IF(D14&gt;S12,T12,IF(D14&gt;Q12,R12,IF(D14&gt;O12,P12,IF(D14&gt;=M12,N12,0))))</f>
        <v>0</v>
      </c>
      <c r="G12" s="357"/>
      <c r="H12" s="369" t="str">
        <f>M12*100 &amp; "–" &amp; O12*100</f>
        <v>2–3</v>
      </c>
      <c r="I12" s="369" t="str">
        <f>"&gt;" &amp; O12*100 &amp; "–" &amp; Q12*100</f>
        <v>&gt;3–4</v>
      </c>
      <c r="J12" s="369" t="str">
        <f>"&gt;" &amp; Q12*100 &amp; "–" &amp; S12*100</f>
        <v>&gt;4–5</v>
      </c>
      <c r="K12" s="375" t="str">
        <f>"&gt;" &amp; S12*100</f>
        <v>&gt;5</v>
      </c>
      <c r="L12" s="381" t="s">
        <v>41</v>
      </c>
      <c r="M12" s="376">
        <v>0.02</v>
      </c>
      <c r="N12" s="373">
        <v>0.5</v>
      </c>
      <c r="O12" s="376">
        <v>0.03</v>
      </c>
      <c r="P12" s="373">
        <v>1</v>
      </c>
      <c r="Q12" s="376">
        <v>0.04</v>
      </c>
      <c r="R12" s="373">
        <v>1.5</v>
      </c>
      <c r="S12" s="376">
        <v>0.05</v>
      </c>
      <c r="T12" s="373">
        <v>2</v>
      </c>
    </row>
    <row r="13" spans="1:20" ht="16.5" hidden="1">
      <c r="A13" s="94"/>
      <c r="B13" s="94"/>
      <c r="C13" s="68" t="s">
        <v>411</v>
      </c>
      <c r="E13" s="357"/>
      <c r="F13" s="368"/>
      <c r="G13" s="357"/>
      <c r="H13" s="369"/>
      <c r="I13" s="369"/>
      <c r="J13" s="369"/>
      <c r="K13" s="375"/>
      <c r="L13" s="375"/>
      <c r="M13" s="376"/>
      <c r="N13" s="373"/>
      <c r="O13" s="376"/>
      <c r="P13" s="373"/>
      <c r="Q13" s="376"/>
      <c r="R13" s="373"/>
      <c r="S13" s="376"/>
      <c r="T13" s="373"/>
    </row>
    <row r="14" spans="1:20" ht="15.95" customHeight="1">
      <c r="A14" s="94"/>
      <c r="B14" s="357"/>
      <c r="C14" s="32" t="s">
        <v>299</v>
      </c>
      <c r="D14" s="377">
        <f>+IF(B12&gt;0,B12/Gemüse_Freiland,0)</f>
        <v>0</v>
      </c>
      <c r="E14" s="357"/>
      <c r="F14" s="378"/>
      <c r="G14" s="357"/>
      <c r="H14" s="369"/>
      <c r="I14" s="369"/>
      <c r="J14" s="369"/>
      <c r="K14" s="369"/>
      <c r="L14" s="369"/>
      <c r="M14" s="372"/>
      <c r="N14" s="373"/>
      <c r="O14" s="372"/>
      <c r="P14" s="373"/>
      <c r="Q14" s="372"/>
      <c r="R14" s="373"/>
      <c r="S14" s="372"/>
      <c r="T14" s="373"/>
    </row>
    <row r="15" spans="1:20" ht="5.25" customHeight="1">
      <c r="A15" s="94"/>
      <c r="B15" s="357"/>
      <c r="C15" s="374"/>
      <c r="D15" s="374"/>
      <c r="E15" s="374"/>
      <c r="F15" s="379"/>
      <c r="G15" s="374"/>
      <c r="H15" s="490"/>
      <c r="I15" s="490"/>
      <c r="J15" s="490"/>
      <c r="K15" s="490"/>
      <c r="L15" s="490"/>
      <c r="M15" s="372"/>
      <c r="N15" s="373"/>
      <c r="O15" s="372"/>
      <c r="P15" s="373"/>
      <c r="Q15" s="372"/>
      <c r="R15" s="373"/>
      <c r="S15" s="372"/>
      <c r="T15" s="373"/>
    </row>
    <row r="16" spans="1:20" ht="15.95" customHeight="1">
      <c r="A16" s="94" t="s">
        <v>451</v>
      </c>
      <c r="B16" s="164">
        <v>0</v>
      </c>
      <c r="C16" s="539" t="s">
        <v>360</v>
      </c>
      <c r="D16" s="539"/>
      <c r="E16" s="367"/>
      <c r="F16" s="368">
        <f>+IF(D18&gt;S16,T16,IF(D18&gt;Q16,R16,IF(D18&gt;O16,P16,IF(D18&gt;=M16,N16,0))))</f>
        <v>0</v>
      </c>
      <c r="G16" s="357"/>
      <c r="H16" s="369" t="str">
        <f>M16*100 &amp; "–" &amp; O16*100</f>
        <v>0.5–1.5</v>
      </c>
      <c r="I16" s="380" t="str">
        <f>"&gt;" &amp; O16*100 &amp; "–" &amp; Q16*100</f>
        <v>&gt;1.5–2.5</v>
      </c>
      <c r="J16" s="369" t="str">
        <f>"&gt;" &amp; Q16*100 &amp; "–" &amp; S16*100</f>
        <v>&gt;2.5–3.5</v>
      </c>
      <c r="K16" s="381" t="str">
        <f>"&gt;" &amp; S16*100</f>
        <v>&gt;3.5</v>
      </c>
      <c r="L16" s="381" t="s">
        <v>41</v>
      </c>
      <c r="M16" s="382">
        <v>5.0000000000000001E-3</v>
      </c>
      <c r="N16" s="373">
        <v>0.5</v>
      </c>
      <c r="O16" s="382">
        <v>1.4999999999999999E-2</v>
      </c>
      <c r="P16" s="373">
        <v>1</v>
      </c>
      <c r="Q16" s="382">
        <v>2.5000000000000001E-2</v>
      </c>
      <c r="R16" s="373">
        <v>1.5</v>
      </c>
      <c r="S16" s="382">
        <v>3.5000000000000003E-2</v>
      </c>
      <c r="T16" s="373">
        <v>2</v>
      </c>
    </row>
    <row r="17" spans="1:20" ht="16.5">
      <c r="A17" s="94"/>
      <c r="B17" s="383"/>
      <c r="C17" s="540" t="s">
        <v>412</v>
      </c>
      <c r="D17" s="540"/>
      <c r="E17" s="374"/>
      <c r="F17" s="368"/>
      <c r="G17" s="357"/>
      <c r="H17" s="369"/>
      <c r="I17" s="380"/>
      <c r="J17" s="369"/>
      <c r="K17" s="381"/>
      <c r="L17" s="381"/>
      <c r="M17" s="382"/>
      <c r="N17" s="373"/>
      <c r="O17" s="382"/>
      <c r="P17" s="373"/>
      <c r="Q17" s="382"/>
      <c r="R17" s="373"/>
      <c r="S17" s="382"/>
      <c r="T17" s="373"/>
    </row>
    <row r="18" spans="1:20" ht="15.95" customHeight="1">
      <c r="A18" s="94"/>
      <c r="B18" s="357"/>
      <c r="C18" s="32" t="s">
        <v>299</v>
      </c>
      <c r="D18" s="377">
        <f>+IF(B16&gt;0, B16/Gemüse_Freiland,0)</f>
        <v>0</v>
      </c>
      <c r="E18" s="384"/>
      <c r="F18" s="378"/>
      <c r="G18" s="357"/>
      <c r="H18" s="369"/>
      <c r="I18" s="369"/>
      <c r="J18" s="369"/>
      <c r="K18" s="369"/>
      <c r="L18" s="369"/>
      <c r="M18" s="372"/>
      <c r="N18" s="373"/>
      <c r="O18" s="372"/>
      <c r="P18" s="373"/>
      <c r="Q18" s="372"/>
      <c r="R18" s="373"/>
      <c r="S18" s="372"/>
      <c r="T18" s="373"/>
    </row>
    <row r="19" spans="1:20" ht="6" customHeight="1">
      <c r="A19" s="94"/>
      <c r="H19" s="491"/>
      <c r="I19" s="491"/>
      <c r="J19" s="491"/>
      <c r="K19" s="491"/>
      <c r="L19" s="491"/>
      <c r="M19" s="372"/>
      <c r="N19" s="373"/>
      <c r="O19" s="372"/>
      <c r="P19" s="373"/>
      <c r="Q19" s="372"/>
      <c r="R19" s="373"/>
      <c r="S19" s="372"/>
      <c r="T19" s="373"/>
    </row>
    <row r="20" spans="1:20" ht="15.95" customHeight="1">
      <c r="A20" s="94" t="s">
        <v>452</v>
      </c>
      <c r="B20" s="501">
        <v>0</v>
      </c>
      <c r="C20" s="541" t="s">
        <v>418</v>
      </c>
      <c r="D20" s="541"/>
      <c r="E20" s="363"/>
      <c r="F20" s="368">
        <f>+IF(B20&gt;S20,T20,IF(B20&gt;Q20,R20,IF(B20&gt;O20,P20,IF(B20&gt;=M20,N20,0))))</f>
        <v>0</v>
      </c>
      <c r="G20" s="357"/>
      <c r="H20" s="369" t="str">
        <f>M20*100 &amp; "–" &amp; O20*100</f>
        <v>10–25</v>
      </c>
      <c r="I20" s="369" t="str">
        <f>"&gt;" &amp; O20*100 &amp; "–" &amp; Q20*100</f>
        <v>&gt;25–50</v>
      </c>
      <c r="J20" s="380" t="str">
        <f>"&gt;" &amp; Q20*100 &amp; "–" &amp; S20*100</f>
        <v>&gt;50–90</v>
      </c>
      <c r="K20" s="381" t="str">
        <f>"&gt;" &amp; S20*100</f>
        <v>&gt;90</v>
      </c>
      <c r="L20" s="381" t="s">
        <v>41</v>
      </c>
      <c r="M20" s="376">
        <v>0.1</v>
      </c>
      <c r="N20" s="373">
        <v>0.5</v>
      </c>
      <c r="O20" s="376">
        <v>0.25</v>
      </c>
      <c r="P20" s="373">
        <v>1</v>
      </c>
      <c r="Q20" s="376">
        <v>0.5</v>
      </c>
      <c r="R20" s="373">
        <v>1.5</v>
      </c>
      <c r="S20" s="376">
        <v>0.9</v>
      </c>
      <c r="T20" s="373">
        <v>2</v>
      </c>
    </row>
    <row r="21" spans="1:20" ht="15.95" customHeight="1">
      <c r="A21" s="94"/>
      <c r="B21" s="357"/>
      <c r="C21" s="540" t="s">
        <v>417</v>
      </c>
      <c r="D21" s="540"/>
      <c r="E21" s="357"/>
      <c r="F21" s="378"/>
      <c r="G21" s="357"/>
      <c r="H21" s="369"/>
      <c r="I21" s="369"/>
      <c r="J21" s="369"/>
      <c r="K21" s="369"/>
      <c r="L21" s="369"/>
    </row>
    <row r="22" spans="1:20" ht="6" customHeight="1">
      <c r="A22" s="94"/>
      <c r="H22" s="491"/>
      <c r="I22" s="491"/>
      <c r="J22" s="491"/>
      <c r="K22" s="491"/>
      <c r="L22" s="491"/>
    </row>
    <row r="23" spans="1:20" ht="15.75" customHeight="1">
      <c r="A23" s="94" t="s">
        <v>453</v>
      </c>
      <c r="B23" s="164">
        <v>0</v>
      </c>
      <c r="C23" s="541" t="s">
        <v>413</v>
      </c>
      <c r="D23" s="541"/>
      <c r="E23" s="357"/>
      <c r="F23" s="368">
        <f>+IF(D26&gt;S23,T23,IF(D26&gt;Q23,R23,IF(D26&gt;O23,P23,IF(D26&gt;=M23,N23,0))))</f>
        <v>0</v>
      </c>
      <c r="G23" s="357"/>
      <c r="H23" s="369" t="str">
        <f>M23*100 &amp; "–" &amp; O23*100</f>
        <v>1.5–2</v>
      </c>
      <c r="I23" s="380" t="str">
        <f>"&gt;" &amp; O23*100 &amp; "–" &amp; Q23*100</f>
        <v>&gt;2–2.5</v>
      </c>
      <c r="J23" s="369" t="str">
        <f>"&gt;" &amp; Q23*100 &amp; "–" &amp; S23*100</f>
        <v>&gt;2.5–3</v>
      </c>
      <c r="K23" s="381" t="str">
        <f>"&gt;" &amp; S23*100</f>
        <v>&gt;3</v>
      </c>
      <c r="L23" s="381" t="s">
        <v>41</v>
      </c>
      <c r="M23" s="382">
        <v>1.4999999999999999E-2</v>
      </c>
      <c r="N23" s="373">
        <v>0.5</v>
      </c>
      <c r="O23" s="382">
        <v>0.02</v>
      </c>
      <c r="P23" s="373">
        <v>1</v>
      </c>
      <c r="Q23" s="382">
        <v>2.5000000000000001E-2</v>
      </c>
      <c r="R23" s="373">
        <v>1.5</v>
      </c>
      <c r="S23" s="382">
        <v>0.03</v>
      </c>
      <c r="T23" s="373">
        <v>2</v>
      </c>
    </row>
    <row r="24" spans="1:20" ht="16.5" hidden="1">
      <c r="A24" s="94"/>
      <c r="B24" s="94"/>
      <c r="C24" s="68" t="s">
        <v>411</v>
      </c>
      <c r="E24" s="357"/>
      <c r="F24" s="368"/>
      <c r="G24" s="357"/>
      <c r="H24" s="369"/>
      <c r="I24" s="369"/>
      <c r="J24" s="369"/>
      <c r="K24" s="375"/>
      <c r="L24" s="375"/>
      <c r="M24" s="376"/>
      <c r="N24" s="373"/>
      <c r="O24" s="376"/>
      <c r="P24" s="373"/>
      <c r="Q24" s="376"/>
      <c r="R24" s="373"/>
      <c r="S24" s="376"/>
      <c r="T24" s="373"/>
    </row>
    <row r="25" spans="1:20" ht="30.75" customHeight="1">
      <c r="A25" s="94"/>
      <c r="B25" s="383"/>
      <c r="C25" s="542" t="s">
        <v>419</v>
      </c>
      <c r="D25" s="542"/>
      <c r="E25" s="357"/>
      <c r="F25" s="368"/>
      <c r="G25" s="357"/>
      <c r="H25" s="369"/>
      <c r="I25" s="380"/>
      <c r="J25" s="369"/>
      <c r="K25" s="381"/>
      <c r="L25" s="381"/>
      <c r="M25" s="382"/>
      <c r="N25" s="373"/>
      <c r="O25" s="382"/>
      <c r="P25" s="373"/>
      <c r="Q25" s="382"/>
      <c r="R25" s="373"/>
      <c r="S25" s="382"/>
      <c r="T25" s="373"/>
    </row>
    <row r="26" spans="1:20" ht="15.95" customHeight="1">
      <c r="A26" s="94"/>
      <c r="B26" s="357"/>
      <c r="C26" s="32" t="s">
        <v>299</v>
      </c>
      <c r="D26" s="389">
        <f>+IF(B23&gt;0, B23/Gemüse_Freiland,0)</f>
        <v>0</v>
      </c>
      <c r="E26" s="357"/>
      <c r="F26" s="378"/>
      <c r="G26" s="357"/>
      <c r="H26" s="369"/>
      <c r="I26" s="369"/>
      <c r="J26" s="369"/>
      <c r="K26" s="369"/>
      <c r="L26" s="369"/>
    </row>
    <row r="27" spans="1:20" ht="6" customHeight="1">
      <c r="A27" s="94"/>
      <c r="H27" s="491"/>
      <c r="I27" s="491"/>
      <c r="J27" s="491"/>
      <c r="K27" s="491"/>
      <c r="L27" s="491"/>
    </row>
    <row r="28" spans="1:20" ht="15.95" customHeight="1">
      <c r="A28" s="94" t="s">
        <v>454</v>
      </c>
      <c r="B28" s="164">
        <v>0</v>
      </c>
      <c r="C28" s="539" t="s">
        <v>473</v>
      </c>
      <c r="D28" s="539"/>
      <c r="E28" s="128"/>
      <c r="F28" s="368">
        <f>+IF(B28&gt;S28,T28,IF(B28&gt;Q28,R28,IF(B28&gt;O28,P28,IF(B28=M28,N28,0))))</f>
        <v>0</v>
      </c>
      <c r="G28" s="68"/>
      <c r="H28" s="505" t="s">
        <v>428</v>
      </c>
      <c r="I28" s="493" t="s">
        <v>425</v>
      </c>
      <c r="J28" s="492" t="s">
        <v>426</v>
      </c>
      <c r="K28" s="492" t="s">
        <v>427</v>
      </c>
      <c r="L28" s="492" t="s">
        <v>430</v>
      </c>
      <c r="M28" s="29">
        <v>0.03</v>
      </c>
      <c r="N28" s="30">
        <v>0.5</v>
      </c>
      <c r="O28" s="29">
        <v>0.03</v>
      </c>
      <c r="P28" s="30">
        <v>1</v>
      </c>
      <c r="Q28" s="29">
        <v>0.06</v>
      </c>
      <c r="R28" s="30">
        <v>1.5</v>
      </c>
      <c r="S28" s="29">
        <v>0.09</v>
      </c>
      <c r="T28" s="30">
        <v>2</v>
      </c>
    </row>
    <row r="29" spans="1:20" ht="12" customHeight="1">
      <c r="A29" s="94"/>
      <c r="B29" s="390"/>
      <c r="C29" s="539" t="s">
        <v>420</v>
      </c>
      <c r="D29" s="539"/>
      <c r="E29" s="128"/>
      <c r="F29" s="368"/>
      <c r="G29" s="68"/>
      <c r="H29" s="492"/>
      <c r="I29" s="493"/>
      <c r="J29" s="492"/>
      <c r="K29" s="492"/>
      <c r="L29" s="492"/>
    </row>
    <row r="30" spans="1:20" ht="30.75" customHeight="1">
      <c r="A30" s="94"/>
      <c r="B30" s="357"/>
      <c r="C30" s="379" t="s">
        <v>319</v>
      </c>
      <c r="D30" s="356">
        <f>IF(B28&gt;S28,S30,IF(B28&gt;Q28,Q30,IF(B28&gt;O28,O30,IF(B28&gt;=M28,M30,0))))</f>
        <v>0</v>
      </c>
      <c r="E30" s="357" t="s">
        <v>364</v>
      </c>
      <c r="F30" s="378"/>
      <c r="G30" s="68"/>
      <c r="H30" s="494"/>
      <c r="I30" s="494"/>
      <c r="J30" s="494"/>
      <c r="K30" s="494"/>
      <c r="L30" s="494"/>
      <c r="M30" s="29">
        <v>2</v>
      </c>
      <c r="O30" s="29">
        <v>4</v>
      </c>
      <c r="Q30" s="29">
        <v>6</v>
      </c>
      <c r="S30" s="29">
        <v>8</v>
      </c>
    </row>
    <row r="31" spans="1:20" ht="6" customHeight="1">
      <c r="A31" s="94"/>
      <c r="B31" s="357"/>
      <c r="C31" s="32"/>
      <c r="D31" s="388"/>
      <c r="E31" s="357"/>
      <c r="F31" s="378"/>
      <c r="G31" s="68"/>
      <c r="H31" s="494"/>
      <c r="I31" s="369"/>
      <c r="J31" s="369"/>
      <c r="K31" s="369"/>
      <c r="L31" s="369"/>
    </row>
    <row r="32" spans="1:20" ht="15.95" customHeight="1">
      <c r="A32" s="94" t="s">
        <v>455</v>
      </c>
      <c r="B32" s="164">
        <v>0</v>
      </c>
      <c r="C32" s="539" t="s">
        <v>366</v>
      </c>
      <c r="D32" s="539"/>
      <c r="E32" s="357"/>
      <c r="F32" s="368">
        <f>+IF(D34&gt;S32,T32,IF(D34&gt;Q32,R32,IF(D34&gt;O32,P32,IF(D34&gt;=M32,N32,0))))</f>
        <v>0</v>
      </c>
      <c r="G32" s="357"/>
      <c r="H32" s="369" t="str">
        <f>M32*100 &amp; "–" &amp; O32*100</f>
        <v>2.5–5</v>
      </c>
      <c r="I32" s="380" t="str">
        <f>"&gt;" &amp; O32*100 &amp; "–" &amp; Q32*100</f>
        <v>&gt;5–7.5</v>
      </c>
      <c r="J32" s="369" t="str">
        <f>"&gt;" &amp; Q32*100 &amp; "–" &amp; S32*100</f>
        <v>&gt;7.5–10</v>
      </c>
      <c r="K32" s="381" t="str">
        <f>"&gt;" &amp; S32*100</f>
        <v>&gt;10</v>
      </c>
      <c r="L32" s="381" t="s">
        <v>41</v>
      </c>
      <c r="M32" s="382">
        <v>2.5000000000000001E-2</v>
      </c>
      <c r="N32" s="30">
        <v>0.5</v>
      </c>
      <c r="O32" s="382">
        <v>0.05</v>
      </c>
      <c r="P32" s="30">
        <v>1</v>
      </c>
      <c r="Q32" s="382">
        <v>7.4999999999999997E-2</v>
      </c>
      <c r="R32" s="30">
        <v>1.5</v>
      </c>
      <c r="S32" s="382">
        <v>0.1</v>
      </c>
      <c r="T32" s="30">
        <v>2</v>
      </c>
    </row>
    <row r="33" spans="1:20" ht="30.75" customHeight="1">
      <c r="A33" s="94"/>
      <c r="B33" s="383"/>
      <c r="C33" s="540" t="s">
        <v>365</v>
      </c>
      <c r="D33" s="540"/>
      <c r="E33" s="357"/>
      <c r="F33" s="368"/>
      <c r="G33" s="357"/>
      <c r="H33" s="369"/>
      <c r="I33" s="380"/>
      <c r="J33" s="369"/>
      <c r="K33" s="381"/>
      <c r="L33" s="381"/>
      <c r="M33" s="382"/>
      <c r="O33" s="382"/>
      <c r="Q33" s="382"/>
      <c r="S33" s="382"/>
    </row>
    <row r="34" spans="1:20" ht="15.95" customHeight="1">
      <c r="A34" s="94"/>
      <c r="B34" s="31"/>
      <c r="C34" s="32" t="s">
        <v>299</v>
      </c>
      <c r="D34" s="391">
        <f>+IF(B32&gt;0, B32/Gemüse_Freiland,0)</f>
        <v>0</v>
      </c>
      <c r="E34" s="357"/>
      <c r="F34" s="378"/>
      <c r="G34" s="357"/>
      <c r="H34" s="369"/>
      <c r="I34" s="369"/>
      <c r="J34" s="369"/>
      <c r="K34" s="369"/>
      <c r="L34" s="369"/>
    </row>
    <row r="35" spans="1:20" ht="6" customHeight="1">
      <c r="A35" s="94"/>
      <c r="B35" s="31"/>
      <c r="C35" s="387"/>
      <c r="D35" s="357"/>
      <c r="E35" s="357"/>
      <c r="F35" s="378"/>
      <c r="G35" s="357"/>
      <c r="H35" s="369"/>
      <c r="I35" s="369"/>
      <c r="J35" s="369"/>
      <c r="K35" s="369"/>
      <c r="L35" s="369"/>
    </row>
    <row r="36" spans="1:20" ht="15.75" customHeight="1">
      <c r="A36" s="94" t="s">
        <v>456</v>
      </c>
      <c r="B36" s="392">
        <v>0</v>
      </c>
      <c r="C36" s="539" t="s">
        <v>367</v>
      </c>
      <c r="D36" s="539"/>
      <c r="E36" s="357"/>
      <c r="F36" s="368">
        <f>+IF(B36&gt;=S36,T36,IF(B36=Q36,R36,IF(B36=O36,P36,IF(B36=M36,N36,0))))</f>
        <v>0</v>
      </c>
      <c r="G36" s="357"/>
      <c r="H36" s="369">
        <v>5</v>
      </c>
      <c r="I36" s="380">
        <v>6</v>
      </c>
      <c r="J36" s="369">
        <v>7</v>
      </c>
      <c r="K36" s="369" t="s">
        <v>431</v>
      </c>
      <c r="L36" s="369" t="s">
        <v>429</v>
      </c>
      <c r="M36" s="29">
        <v>5</v>
      </c>
      <c r="N36" s="30">
        <v>0.5</v>
      </c>
      <c r="O36" s="29">
        <v>6</v>
      </c>
      <c r="P36" s="30">
        <v>1</v>
      </c>
      <c r="Q36" s="29">
        <v>7</v>
      </c>
      <c r="R36" s="30">
        <v>1.5</v>
      </c>
      <c r="S36" s="29">
        <v>8</v>
      </c>
      <c r="T36" s="30">
        <v>2</v>
      </c>
    </row>
    <row r="37" spans="1:20" ht="16.5" hidden="1">
      <c r="A37" s="94"/>
      <c r="B37" s="94"/>
      <c r="C37" s="68" t="s">
        <v>411</v>
      </c>
      <c r="E37" s="357"/>
      <c r="F37" s="368"/>
      <c r="G37" s="357"/>
      <c r="H37" s="369"/>
      <c r="I37" s="369"/>
      <c r="J37" s="369"/>
      <c r="K37" s="375"/>
      <c r="L37" s="375"/>
      <c r="M37" s="376"/>
      <c r="N37" s="373"/>
      <c r="O37" s="376"/>
      <c r="P37" s="373"/>
      <c r="Q37" s="376"/>
      <c r="R37" s="373"/>
      <c r="S37" s="376"/>
      <c r="T37" s="373"/>
    </row>
    <row r="38" spans="1:20" ht="33" customHeight="1">
      <c r="A38" s="383"/>
      <c r="B38" s="383"/>
      <c r="C38" s="540" t="s">
        <v>368</v>
      </c>
      <c r="D38" s="540"/>
      <c r="E38" s="357"/>
      <c r="F38" s="368"/>
      <c r="G38" s="357"/>
      <c r="H38" s="369"/>
      <c r="I38" s="380"/>
      <c r="J38" s="369"/>
      <c r="K38" s="369"/>
      <c r="L38" s="369"/>
    </row>
    <row r="39" spans="1:20" ht="6" customHeight="1">
      <c r="A39" s="357"/>
      <c r="B39" s="357"/>
      <c r="C39" s="357"/>
      <c r="D39" s="357"/>
      <c r="E39" s="357"/>
      <c r="F39" s="68"/>
      <c r="G39" s="357"/>
      <c r="H39" s="369"/>
      <c r="I39" s="369"/>
      <c r="J39" s="369"/>
      <c r="K39" s="369"/>
      <c r="L39" s="369"/>
    </row>
    <row r="40" spans="1:20" ht="20.100000000000001" customHeight="1">
      <c r="A40" s="538" t="s">
        <v>300</v>
      </c>
      <c r="B40" s="538"/>
      <c r="C40" s="538"/>
      <c r="D40" s="538"/>
      <c r="E40" s="538"/>
      <c r="F40" s="538"/>
      <c r="G40" s="538"/>
      <c r="H40" s="495" t="s">
        <v>16</v>
      </c>
      <c r="I40" s="495" t="s">
        <v>10</v>
      </c>
      <c r="J40" s="495" t="s">
        <v>17</v>
      </c>
      <c r="K40" s="495" t="s">
        <v>11</v>
      </c>
      <c r="L40" s="495" t="s">
        <v>15</v>
      </c>
      <c r="M40" s="356"/>
      <c r="N40" s="356"/>
      <c r="O40" s="356"/>
      <c r="P40" s="356"/>
      <c r="Q40" s="356"/>
      <c r="R40" s="356"/>
      <c r="S40" s="356"/>
      <c r="T40" s="356"/>
    </row>
    <row r="41" spans="1:20" ht="6" customHeight="1">
      <c r="A41" s="357"/>
      <c r="B41" s="357"/>
      <c r="C41" s="357"/>
      <c r="D41" s="388"/>
      <c r="E41" s="357"/>
      <c r="F41" s="68"/>
      <c r="G41" s="357"/>
      <c r="H41" s="369"/>
      <c r="I41" s="369"/>
      <c r="J41" s="369"/>
      <c r="K41" s="369"/>
      <c r="L41" s="369"/>
    </row>
    <row r="42" spans="1:20" ht="15.95" customHeight="1">
      <c r="A42" s="94" t="s">
        <v>457</v>
      </c>
      <c r="B42" s="164">
        <v>0</v>
      </c>
      <c r="C42" s="539" t="s">
        <v>414</v>
      </c>
      <c r="D42" s="539"/>
      <c r="E42" s="357"/>
      <c r="F42" s="368">
        <f>+IF(D44&gt;S42,T42,IF(D44&gt;Q42,R42,IF(D44&gt;O42,P42,IF(D44&gt;=M42,N42,0))))</f>
        <v>0</v>
      </c>
      <c r="G42" s="357"/>
      <c r="H42" s="369" t="str">
        <f>M42*100 &amp; "–" &amp; O42*100</f>
        <v>1–1.5</v>
      </c>
      <c r="I42" s="369" t="str">
        <f>"&gt;" &amp; O42*100 &amp; "–" &amp; Q42*100</f>
        <v>&gt;1.5–2</v>
      </c>
      <c r="J42" s="369" t="str">
        <f>"&gt;" &amp; Q42*100 &amp; "–" &amp; S42*100</f>
        <v>&gt;2–2.5</v>
      </c>
      <c r="K42" s="381" t="str">
        <f>"&gt;" &amp; S42*100</f>
        <v>&gt;2.5</v>
      </c>
      <c r="L42" s="381" t="s">
        <v>41</v>
      </c>
      <c r="M42" s="382">
        <v>0.01</v>
      </c>
      <c r="N42" s="30">
        <v>0.5</v>
      </c>
      <c r="O42" s="382">
        <v>1.4999999999999999E-2</v>
      </c>
      <c r="P42" s="30">
        <v>1</v>
      </c>
      <c r="Q42" s="382">
        <v>0.02</v>
      </c>
      <c r="R42" s="30">
        <v>1.5</v>
      </c>
      <c r="S42" s="382">
        <v>2.5000000000000001E-2</v>
      </c>
      <c r="T42" s="30">
        <v>2</v>
      </c>
    </row>
    <row r="43" spans="1:20" ht="15.95" customHeight="1">
      <c r="A43" s="94"/>
      <c r="B43" s="374"/>
      <c r="C43" s="540" t="s">
        <v>415</v>
      </c>
      <c r="D43" s="540"/>
      <c r="E43" s="357"/>
      <c r="F43" s="368"/>
      <c r="G43" s="357"/>
      <c r="H43" s="369"/>
      <c r="I43" s="369"/>
      <c r="J43" s="369"/>
      <c r="K43" s="381"/>
      <c r="L43" s="381"/>
      <c r="M43" s="382"/>
      <c r="O43" s="382"/>
      <c r="Q43" s="382"/>
      <c r="S43" s="382"/>
    </row>
    <row r="44" spans="1:20" ht="15.95" customHeight="1">
      <c r="A44" s="94"/>
      <c r="B44" s="31"/>
      <c r="C44" s="32" t="s">
        <v>301</v>
      </c>
      <c r="D44" s="394">
        <f>+IF(B42&gt;0, B42/Gemüse_geschützt,0)</f>
        <v>0</v>
      </c>
      <c r="E44" s="357"/>
      <c r="F44" s="378"/>
      <c r="G44" s="357"/>
      <c r="H44" s="369"/>
      <c r="I44" s="369"/>
      <c r="J44" s="369"/>
      <c r="K44" s="369"/>
      <c r="L44" s="369"/>
    </row>
    <row r="45" spans="1:20" ht="6" customHeight="1">
      <c r="A45" s="94"/>
      <c r="B45" s="357"/>
      <c r="C45" s="357"/>
      <c r="D45" s="357"/>
      <c r="E45" s="357"/>
      <c r="F45" s="378"/>
      <c r="G45" s="357"/>
      <c r="H45" s="369"/>
      <c r="I45" s="369"/>
      <c r="J45" s="369"/>
      <c r="K45" s="369"/>
      <c r="L45" s="369"/>
    </row>
    <row r="46" spans="1:20" ht="15.95" customHeight="1">
      <c r="A46" s="94" t="s">
        <v>458</v>
      </c>
      <c r="B46" s="164">
        <v>0</v>
      </c>
      <c r="C46" s="539" t="s">
        <v>369</v>
      </c>
      <c r="D46" s="539"/>
      <c r="E46" s="357"/>
      <c r="F46" s="368">
        <f>+IF(D48&gt;Q46,R46,IF(D48&gt;O46,P46,IF(D48&gt;=M46,N46,0)))</f>
        <v>0</v>
      </c>
      <c r="G46" s="357"/>
      <c r="H46" s="496"/>
      <c r="I46" s="369" t="str">
        <f>M46*100 &amp; "-" &amp; O46*100</f>
        <v>5-10</v>
      </c>
      <c r="J46" s="369" t="str">
        <f>"&gt;" &amp; O46*100 &amp; "–" &amp; Q46*100</f>
        <v>&gt;10–15</v>
      </c>
      <c r="K46" s="381" t="str">
        <f>"&gt;" &amp; Q46*100</f>
        <v>&gt;15</v>
      </c>
      <c r="L46" s="381" t="s">
        <v>41</v>
      </c>
      <c r="M46" s="382">
        <v>0.05</v>
      </c>
      <c r="N46" s="30">
        <v>1</v>
      </c>
      <c r="O46" s="382">
        <v>0.1</v>
      </c>
      <c r="P46" s="30">
        <v>1.5</v>
      </c>
      <c r="Q46" s="382">
        <v>0.15</v>
      </c>
      <c r="R46" s="30">
        <v>2</v>
      </c>
    </row>
    <row r="47" spans="1:20" ht="12.75" customHeight="1">
      <c r="A47" s="374"/>
      <c r="B47" s="374"/>
      <c r="C47" s="540" t="s">
        <v>410</v>
      </c>
      <c r="D47" s="540"/>
      <c r="E47" s="357"/>
      <c r="F47" s="368"/>
      <c r="G47" s="357"/>
      <c r="H47" s="496"/>
      <c r="I47" s="380"/>
      <c r="J47" s="369"/>
      <c r="K47" s="381"/>
      <c r="L47" s="381"/>
      <c r="M47" s="382"/>
      <c r="O47" s="382"/>
      <c r="Q47" s="382"/>
    </row>
    <row r="48" spans="1:20" ht="15.95" customHeight="1">
      <c r="A48" s="94"/>
      <c r="B48" s="357"/>
      <c r="C48" s="32" t="s">
        <v>301</v>
      </c>
      <c r="D48" s="394">
        <f>+IF(B46&gt;0, B46/Gemüse_geschützt,0)</f>
        <v>0</v>
      </c>
      <c r="E48" s="357"/>
      <c r="F48" s="378"/>
      <c r="G48" s="357"/>
      <c r="H48" s="369"/>
      <c r="I48" s="369"/>
      <c r="J48" s="369"/>
      <c r="K48" s="369"/>
      <c r="L48" s="369"/>
    </row>
    <row r="49" spans="1:20" ht="6" customHeight="1">
      <c r="A49" s="94"/>
      <c r="B49" s="357"/>
      <c r="C49" s="357"/>
      <c r="D49" s="357"/>
      <c r="E49" s="357"/>
      <c r="F49" s="378"/>
      <c r="G49" s="357"/>
      <c r="H49" s="369"/>
      <c r="I49" s="369"/>
      <c r="J49" s="369"/>
      <c r="K49" s="369"/>
      <c r="L49" s="369"/>
    </row>
    <row r="50" spans="1:20" ht="15.95" customHeight="1">
      <c r="A50" s="94" t="s">
        <v>459</v>
      </c>
      <c r="B50" s="164">
        <v>0</v>
      </c>
      <c r="C50" s="539" t="s">
        <v>472</v>
      </c>
      <c r="D50" s="539"/>
      <c r="E50" s="357"/>
      <c r="F50" s="368">
        <f>+IF(B46&gt;0,IF(B50/B46&gt;=M50,1,0),0)</f>
        <v>0</v>
      </c>
      <c r="G50" s="357"/>
      <c r="H50" s="497"/>
      <c r="I50" s="369" t="str">
        <f>_xlfn.CONCAT("&gt;=",M50*100,"%")</f>
        <v>&gt;=10%</v>
      </c>
      <c r="J50" s="497"/>
      <c r="K50" s="497"/>
      <c r="L50" s="497"/>
      <c r="M50" s="382">
        <v>0.1</v>
      </c>
      <c r="N50" s="30">
        <v>1</v>
      </c>
    </row>
    <row r="51" spans="1:20" ht="6" customHeight="1">
      <c r="A51" s="94"/>
      <c r="B51" s="357"/>
      <c r="C51" s="357"/>
      <c r="D51" s="395"/>
      <c r="E51" s="357"/>
      <c r="F51" s="378"/>
      <c r="G51" s="357"/>
      <c r="H51" s="369"/>
      <c r="I51" s="369"/>
      <c r="J51" s="369"/>
      <c r="K51" s="369"/>
      <c r="L51" s="369"/>
    </row>
    <row r="52" spans="1:20" ht="20.100000000000001" customHeight="1">
      <c r="A52" s="538" t="s">
        <v>302</v>
      </c>
      <c r="B52" s="538"/>
      <c r="C52" s="538"/>
      <c r="D52" s="538"/>
      <c r="E52" s="538"/>
      <c r="F52" s="538"/>
      <c r="G52" s="538"/>
      <c r="H52" s="495" t="s">
        <v>16</v>
      </c>
      <c r="I52" s="495" t="s">
        <v>10</v>
      </c>
      <c r="J52" s="495" t="s">
        <v>17</v>
      </c>
      <c r="K52" s="495" t="s">
        <v>11</v>
      </c>
      <c r="L52" s="495" t="s">
        <v>15</v>
      </c>
      <c r="M52" s="356"/>
      <c r="N52" s="356"/>
      <c r="O52" s="356"/>
      <c r="P52" s="356"/>
      <c r="Q52" s="356"/>
      <c r="R52" s="356"/>
      <c r="S52" s="356"/>
      <c r="T52" s="356"/>
    </row>
    <row r="53" spans="1:20" ht="6" customHeight="1">
      <c r="A53" s="357"/>
      <c r="B53" s="357"/>
      <c r="C53" s="357"/>
      <c r="D53" s="395"/>
      <c r="E53" s="357"/>
      <c r="F53" s="378"/>
      <c r="G53" s="357"/>
      <c r="H53" s="369"/>
      <c r="I53" s="369"/>
      <c r="J53" s="369"/>
      <c r="K53" s="369"/>
      <c r="L53" s="369"/>
    </row>
    <row r="54" spans="1:20" ht="15.95" customHeight="1">
      <c r="A54" s="94" t="s">
        <v>460</v>
      </c>
      <c r="B54" s="164">
        <v>0</v>
      </c>
      <c r="C54" s="540" t="s">
        <v>303</v>
      </c>
      <c r="D54" s="540"/>
      <c r="E54" s="357"/>
      <c r="F54" s="368">
        <f>+IF(D55&gt;S54,T54,IF(D55&gt;Q54,R54,IF(D55&gt;O54,P54,IF(D55&gt;=M54,N54,0))))</f>
        <v>0</v>
      </c>
      <c r="G54" s="357"/>
      <c r="H54" s="369" t="str">
        <f>M54*100 &amp; "–" &amp; O54*100</f>
        <v>1–5</v>
      </c>
      <c r="I54" s="369" t="str">
        <f>"&gt;" &amp; O54*100 &amp; "–" &amp; Q54*100</f>
        <v>&gt;5–10</v>
      </c>
      <c r="J54" s="369" t="str">
        <f>"&gt;" &amp; Q54*100 &amp; "–" &amp; S54*100</f>
        <v>&gt;10–15</v>
      </c>
      <c r="K54" s="381" t="str">
        <f>"&gt;" &amp; S54*100</f>
        <v>&gt;15</v>
      </c>
      <c r="L54" s="381" t="s">
        <v>41</v>
      </c>
      <c r="M54" s="382">
        <v>0.01</v>
      </c>
      <c r="N54" s="30">
        <v>0.5</v>
      </c>
      <c r="O54" s="382">
        <v>0.05</v>
      </c>
      <c r="P54" s="30">
        <v>1</v>
      </c>
      <c r="Q54" s="382">
        <v>0.1</v>
      </c>
      <c r="R54" s="30">
        <v>1.5</v>
      </c>
      <c r="S54" s="382">
        <v>0.15</v>
      </c>
      <c r="T54" s="30">
        <v>2</v>
      </c>
    </row>
    <row r="55" spans="1:20" ht="15.95" customHeight="1">
      <c r="A55" s="94"/>
      <c r="B55" s="31"/>
      <c r="C55" s="32" t="s">
        <v>299</v>
      </c>
      <c r="D55" s="394">
        <f>+IF(B54&gt;0, B54/Gemüse_Freiland,0)</f>
        <v>0</v>
      </c>
      <c r="E55" s="384"/>
      <c r="F55" s="378"/>
      <c r="G55" s="357"/>
      <c r="H55" s="369"/>
      <c r="I55" s="369"/>
      <c r="J55" s="369"/>
      <c r="K55" s="369"/>
      <c r="L55" s="369"/>
    </row>
    <row r="56" spans="1:20" ht="6" customHeight="1">
      <c r="A56" s="94"/>
      <c r="B56" s="31"/>
      <c r="C56" s="387"/>
      <c r="D56" s="395"/>
      <c r="E56" s="357"/>
      <c r="F56" s="378"/>
      <c r="G56" s="357"/>
      <c r="H56" s="369"/>
      <c r="I56" s="369"/>
      <c r="J56" s="369"/>
      <c r="K56" s="369"/>
      <c r="L56" s="369"/>
    </row>
    <row r="57" spans="1:20" ht="15.95" customHeight="1">
      <c r="A57" s="94" t="s">
        <v>461</v>
      </c>
      <c r="B57" s="164">
        <v>0</v>
      </c>
      <c r="C57" s="539" t="s">
        <v>444</v>
      </c>
      <c r="D57" s="539"/>
      <c r="E57" s="357"/>
      <c r="F57" s="368">
        <f>+IF(D59&gt;S57,T57,IF(D59&gt;Q57,R57,IF(D59&gt;O57,P57,IF(D59&gt;=M57,N57,0))))</f>
        <v>0</v>
      </c>
      <c r="G57" s="357"/>
      <c r="H57" s="369" t="str">
        <f>M57*100 &amp; "–" &amp; O57*100</f>
        <v>1–20</v>
      </c>
      <c r="I57" s="369" t="str">
        <f>"&gt;" &amp; O57*100 &amp; "–" &amp; Q57*100</f>
        <v>&gt;20–60</v>
      </c>
      <c r="J57" s="369" t="str">
        <f>"&gt;" &amp; Q57*100 &amp; "–" &amp; S57*100</f>
        <v>&gt;60–80</v>
      </c>
      <c r="K57" s="381" t="str">
        <f>"&gt;" &amp; S57*100</f>
        <v>&gt;80</v>
      </c>
      <c r="L57" s="381" t="s">
        <v>41</v>
      </c>
      <c r="M57" s="382">
        <v>0.01</v>
      </c>
      <c r="N57" s="30">
        <v>0.5</v>
      </c>
      <c r="O57" s="382">
        <v>0.2</v>
      </c>
      <c r="P57" s="30">
        <v>1</v>
      </c>
      <c r="Q57" s="382">
        <v>0.6</v>
      </c>
      <c r="R57" s="30">
        <v>1.5</v>
      </c>
      <c r="S57" s="382">
        <v>0.8</v>
      </c>
      <c r="T57" s="30">
        <v>2</v>
      </c>
    </row>
    <row r="58" spans="1:20" ht="15.95" customHeight="1">
      <c r="A58" s="94"/>
      <c r="B58" s="31"/>
      <c r="C58" s="500" t="s">
        <v>445</v>
      </c>
      <c r="D58" s="500"/>
      <c r="E58" s="357"/>
      <c r="F58" s="368"/>
      <c r="G58" s="357"/>
      <c r="H58" s="369"/>
      <c r="I58" s="369"/>
      <c r="J58" s="369"/>
      <c r="K58" s="381"/>
      <c r="L58" s="381"/>
      <c r="M58" s="382"/>
      <c r="O58" s="382"/>
      <c r="Q58" s="382"/>
      <c r="S58" s="382"/>
    </row>
    <row r="59" spans="1:20" ht="15.95" customHeight="1">
      <c r="A59" s="94"/>
      <c r="B59" s="31"/>
      <c r="C59" s="32" t="s">
        <v>299</v>
      </c>
      <c r="D59" s="396">
        <f>+IF(B57&gt;0, B57/Gemüse_Freiland,0)</f>
        <v>0</v>
      </c>
      <c r="E59" s="384"/>
      <c r="F59" s="378"/>
      <c r="G59" s="357"/>
      <c r="H59" s="498"/>
      <c r="I59" s="498"/>
      <c r="J59" s="498"/>
      <c r="K59" s="498"/>
      <c r="L59" s="498"/>
    </row>
    <row r="60" spans="1:20" ht="15.95" customHeight="1">
      <c r="A60" s="94"/>
      <c r="B60" s="31"/>
      <c r="C60" s="32" t="s">
        <v>310</v>
      </c>
      <c r="D60" s="405"/>
      <c r="E60" s="384"/>
      <c r="F60" s="378"/>
      <c r="G60" s="357"/>
      <c r="H60" s="498"/>
      <c r="I60" s="498"/>
      <c r="J60" s="498"/>
      <c r="K60" s="498"/>
      <c r="L60" s="498"/>
    </row>
    <row r="61" spans="1:20" ht="6" customHeight="1">
      <c r="A61" s="94"/>
      <c r="B61" s="31"/>
      <c r="C61" s="387"/>
      <c r="D61" s="395"/>
      <c r="E61" s="357"/>
      <c r="F61" s="378"/>
      <c r="G61" s="357"/>
      <c r="H61" s="498"/>
      <c r="I61" s="498"/>
      <c r="J61" s="498"/>
      <c r="K61" s="498"/>
      <c r="L61" s="498"/>
    </row>
    <row r="62" spans="1:20" ht="15.95" customHeight="1">
      <c r="A62" s="94" t="s">
        <v>462</v>
      </c>
      <c r="B62" s="164">
        <v>0</v>
      </c>
      <c r="C62" s="539" t="s">
        <v>304</v>
      </c>
      <c r="D62" s="539"/>
      <c r="E62" s="357"/>
      <c r="F62" s="368">
        <f>+IF(D63&gt;S62,T62,IF(D63&gt;Q62,R62,IF(D63&gt;O62,P62,IF(D63&gt;=M62,N62,0))))</f>
        <v>0</v>
      </c>
      <c r="G62" s="357"/>
      <c r="H62" s="369" t="str">
        <f>M62*100 &amp; "–" &amp; O62*100</f>
        <v>5–10</v>
      </c>
      <c r="I62" s="369" t="str">
        <f>"&gt;" &amp; O62*100 &amp; "–" &amp; Q62*100</f>
        <v>&gt;10–30</v>
      </c>
      <c r="J62" s="369" t="str">
        <f>"&gt;" &amp; Q62*100 &amp; "–" &amp; S62*100</f>
        <v>&gt;30–60</v>
      </c>
      <c r="K62" s="381" t="str">
        <f>"&gt;" &amp; S62*100</f>
        <v>&gt;60</v>
      </c>
      <c r="L62" s="381" t="s">
        <v>41</v>
      </c>
      <c r="M62" s="382">
        <v>0.05</v>
      </c>
      <c r="N62" s="30">
        <v>0.5</v>
      </c>
      <c r="O62" s="382">
        <v>0.1</v>
      </c>
      <c r="P62" s="30">
        <v>1</v>
      </c>
      <c r="Q62" s="382">
        <v>0.3</v>
      </c>
      <c r="R62" s="30">
        <v>1.5</v>
      </c>
      <c r="S62" s="382">
        <v>0.6</v>
      </c>
      <c r="T62" s="30">
        <v>2</v>
      </c>
    </row>
    <row r="63" spans="1:20" ht="15.95" customHeight="1">
      <c r="A63" s="94"/>
      <c r="B63" s="31"/>
      <c r="C63" s="32" t="s">
        <v>299</v>
      </c>
      <c r="D63" s="396">
        <f>+IF(B62&gt;0, B62/Gemüse_Freiland,0)</f>
        <v>0</v>
      </c>
      <c r="E63" s="384"/>
      <c r="F63" s="378"/>
      <c r="G63" s="357"/>
      <c r="H63" s="498"/>
      <c r="I63" s="498"/>
      <c r="J63" s="498"/>
      <c r="K63" s="498"/>
      <c r="L63" s="498"/>
    </row>
    <row r="64" spans="1:20" ht="15.95" customHeight="1">
      <c r="A64" s="94"/>
      <c r="B64" s="31"/>
      <c r="C64" s="32" t="s">
        <v>310</v>
      </c>
      <c r="D64" s="405"/>
      <c r="E64" s="384"/>
      <c r="F64" s="378"/>
      <c r="G64" s="357"/>
      <c r="H64" s="498"/>
      <c r="I64" s="498"/>
      <c r="J64" s="498"/>
      <c r="K64" s="498"/>
      <c r="L64" s="498"/>
    </row>
    <row r="65" spans="1:20" ht="6" customHeight="1">
      <c r="A65" s="94"/>
      <c r="B65" s="31"/>
      <c r="C65" s="387"/>
      <c r="D65" s="395"/>
      <c r="E65" s="357"/>
      <c r="F65" s="378"/>
      <c r="G65" s="357"/>
      <c r="H65" s="498"/>
      <c r="I65" s="498"/>
      <c r="J65" s="498"/>
      <c r="K65" s="498"/>
      <c r="L65" s="498"/>
    </row>
    <row r="66" spans="1:20" ht="15.95" customHeight="1">
      <c r="A66" s="94" t="s">
        <v>463</v>
      </c>
      <c r="B66" s="164">
        <v>0</v>
      </c>
      <c r="C66" s="541" t="s">
        <v>416</v>
      </c>
      <c r="D66" s="541"/>
      <c r="E66" s="384"/>
      <c r="F66" s="368">
        <f>+IF(D67&gt;S66,T66,IF(D67&gt;Q66,R66,IF(D67&gt;O66,P66,IF(D67&gt;=M66,N66,0))))</f>
        <v>0</v>
      </c>
      <c r="G66" s="357"/>
      <c r="H66" s="369" t="str">
        <f>M66*100 &amp; "–" &amp; O66*100</f>
        <v>5–10</v>
      </c>
      <c r="I66" s="369" t="str">
        <f>"&gt;" &amp; O66*100 &amp; "–" &amp; Q66*100</f>
        <v>&gt;10–30</v>
      </c>
      <c r="J66" s="369" t="str">
        <f>"&gt;" &amp; Q66*100 &amp; "–" &amp; S66*100</f>
        <v>&gt;30–60</v>
      </c>
      <c r="K66" s="381" t="str">
        <f>"&gt;" &amp; S66*100</f>
        <v>&gt;60</v>
      </c>
      <c r="L66" s="381" t="s">
        <v>41</v>
      </c>
      <c r="M66" s="382">
        <v>0.05</v>
      </c>
      <c r="N66" s="30">
        <v>0.5</v>
      </c>
      <c r="O66" s="382">
        <v>0.1</v>
      </c>
      <c r="P66" s="30">
        <v>1</v>
      </c>
      <c r="Q66" s="382">
        <v>0.3</v>
      </c>
      <c r="R66" s="30">
        <v>1.5</v>
      </c>
      <c r="S66" s="382">
        <v>0.6</v>
      </c>
      <c r="T66" s="30">
        <v>2</v>
      </c>
    </row>
    <row r="67" spans="1:20" ht="15.95" customHeight="1">
      <c r="A67" s="94"/>
      <c r="B67" s="31"/>
      <c r="C67" s="32" t="s">
        <v>299</v>
      </c>
      <c r="D67" s="396">
        <f>+IF(B66&gt;0, B66/Gemüse_Freiland,0)</f>
        <v>0</v>
      </c>
      <c r="E67" s="384"/>
      <c r="F67" s="68"/>
      <c r="G67" s="357"/>
      <c r="H67" s="369"/>
      <c r="I67" s="498"/>
      <c r="J67" s="498"/>
      <c r="K67" s="498"/>
      <c r="L67" s="498"/>
    </row>
    <row r="68" spans="1:20" ht="15.95" customHeight="1">
      <c r="A68" s="94"/>
      <c r="B68" s="31"/>
      <c r="C68" s="32" t="s">
        <v>310</v>
      </c>
      <c r="D68" s="405"/>
      <c r="E68" s="384"/>
      <c r="F68" s="378"/>
      <c r="G68" s="357"/>
      <c r="H68" s="369"/>
      <c r="I68" s="498"/>
      <c r="J68" s="498"/>
      <c r="K68" s="498"/>
      <c r="L68" s="498"/>
    </row>
    <row r="69" spans="1:20" ht="6" customHeight="1">
      <c r="A69" s="94"/>
      <c r="B69" s="31"/>
      <c r="C69" s="32"/>
      <c r="D69" s="397"/>
      <c r="E69" s="384"/>
      <c r="F69" s="68"/>
      <c r="G69" s="357"/>
      <c r="H69" s="498"/>
      <c r="I69" s="498"/>
      <c r="J69" s="498"/>
      <c r="K69" s="498"/>
      <c r="L69" s="498"/>
    </row>
    <row r="70" spans="1:20" ht="15.95" customHeight="1">
      <c r="A70" s="94" t="s">
        <v>464</v>
      </c>
      <c r="B70" s="164">
        <v>0</v>
      </c>
      <c r="C70" s="541" t="s">
        <v>305</v>
      </c>
      <c r="D70" s="541"/>
      <c r="E70" s="384"/>
      <c r="F70" s="368">
        <f>+IF(D71&gt;S70,T70,IF(D71&gt;Q70,R70,IF(D71&gt;O70,P70,IF(D71&gt;=M70,N70,0))))</f>
        <v>0</v>
      </c>
      <c r="G70" s="357"/>
      <c r="H70" s="369" t="str">
        <f>M70*100 &amp; "–" &amp; O70*100</f>
        <v>1–5</v>
      </c>
      <c r="I70" s="369" t="str">
        <f>"&gt;" &amp; O70*100 &amp; "–" &amp; Q70*100</f>
        <v>&gt;5–10</v>
      </c>
      <c r="J70" s="369" t="str">
        <f>"&gt;" &amp; Q70*100 &amp; "–" &amp; S70*100</f>
        <v>&gt;10–15</v>
      </c>
      <c r="K70" s="381" t="str">
        <f>"&gt;" &amp; S70*100</f>
        <v>&gt;15</v>
      </c>
      <c r="L70" s="381" t="s">
        <v>41</v>
      </c>
      <c r="M70" s="382">
        <v>0.01</v>
      </c>
      <c r="N70" s="30">
        <v>0.5</v>
      </c>
      <c r="O70" s="382">
        <v>0.05</v>
      </c>
      <c r="P70" s="30">
        <v>1</v>
      </c>
      <c r="Q70" s="382">
        <v>0.1</v>
      </c>
      <c r="R70" s="30">
        <v>1.5</v>
      </c>
      <c r="S70" s="382">
        <v>0.15</v>
      </c>
      <c r="T70" s="30">
        <v>2</v>
      </c>
    </row>
    <row r="71" spans="1:20" ht="15.95" customHeight="1">
      <c r="A71" s="94"/>
      <c r="B71" s="31"/>
      <c r="C71" s="32" t="s">
        <v>299</v>
      </c>
      <c r="D71" s="391">
        <f>+IF(B70&gt;0, B70/Gemüse_Freiland,0)</f>
        <v>0</v>
      </c>
      <c r="E71" s="384"/>
      <c r="F71" s="68"/>
      <c r="G71" s="357"/>
      <c r="H71" s="498"/>
      <c r="I71" s="498"/>
      <c r="J71" s="498"/>
      <c r="K71" s="498"/>
      <c r="L71" s="498"/>
    </row>
    <row r="72" spans="1:20" ht="15.95" customHeight="1">
      <c r="A72" s="94"/>
      <c r="B72" s="31"/>
      <c r="C72" s="32" t="s">
        <v>310</v>
      </c>
      <c r="D72" s="405"/>
      <c r="E72" s="384"/>
      <c r="F72" s="378"/>
      <c r="G72" s="357"/>
      <c r="H72" s="369"/>
      <c r="I72" s="498"/>
      <c r="J72" s="498"/>
      <c r="K72" s="498"/>
      <c r="L72" s="498"/>
    </row>
    <row r="73" spans="1:20" ht="6" customHeight="1">
      <c r="A73" s="94"/>
      <c r="B73" s="31"/>
      <c r="C73" s="387"/>
      <c r="D73" s="395"/>
      <c r="E73" s="357"/>
      <c r="F73" s="378"/>
      <c r="G73" s="357"/>
      <c r="H73" s="498"/>
      <c r="I73" s="498"/>
      <c r="J73" s="498"/>
      <c r="K73" s="498"/>
      <c r="L73" s="498"/>
    </row>
    <row r="74" spans="1:20" ht="15.95" customHeight="1">
      <c r="A74" s="94" t="s">
        <v>465</v>
      </c>
      <c r="B74" s="164">
        <v>0</v>
      </c>
      <c r="C74" s="539" t="s">
        <v>306</v>
      </c>
      <c r="D74" s="539"/>
      <c r="E74" s="398"/>
      <c r="F74" s="368">
        <f>+IF(D75&gt;S74,T74,IF(D75&gt;Q74,R74,IF(D75&gt;O74,P74,IF(D75&gt;=M74,N74,0))))</f>
        <v>0</v>
      </c>
      <c r="G74" s="357"/>
      <c r="H74" s="369" t="str">
        <f>M74*100 &amp; "–" &amp; O74*100</f>
        <v>5–10</v>
      </c>
      <c r="I74" s="369" t="str">
        <f>"&gt;" &amp; O74*100 &amp; "–" &amp; Q74*100</f>
        <v>&gt;10–15</v>
      </c>
      <c r="J74" s="369" t="str">
        <f>"&gt;" &amp; Q74*100 &amp; "–" &amp; S74*100</f>
        <v>&gt;15–20</v>
      </c>
      <c r="K74" s="381" t="str">
        <f>"&gt;" &amp; S74*100</f>
        <v>&gt;20</v>
      </c>
      <c r="L74" s="381" t="s">
        <v>41</v>
      </c>
      <c r="M74" s="382">
        <v>0.05</v>
      </c>
      <c r="N74" s="30">
        <v>0.5</v>
      </c>
      <c r="O74" s="382">
        <v>0.1</v>
      </c>
      <c r="P74" s="30">
        <v>1</v>
      </c>
      <c r="Q74" s="382">
        <v>0.15</v>
      </c>
      <c r="R74" s="30">
        <v>1.5</v>
      </c>
      <c r="S74" s="382">
        <v>0.2</v>
      </c>
      <c r="T74" s="30">
        <v>2</v>
      </c>
    </row>
    <row r="75" spans="1:20" ht="15.95" customHeight="1">
      <c r="A75" s="94"/>
      <c r="B75" s="31"/>
      <c r="C75" s="32" t="s">
        <v>299</v>
      </c>
      <c r="D75" s="396">
        <f>+IF(B74&gt;0, B74/Gemüse_Freiland,0)</f>
        <v>0</v>
      </c>
      <c r="E75" s="398"/>
      <c r="F75" s="68"/>
      <c r="G75" s="68"/>
      <c r="H75" s="498"/>
      <c r="I75" s="498"/>
      <c r="J75" s="498"/>
      <c r="K75" s="498"/>
      <c r="L75" s="498"/>
    </row>
    <row r="76" spans="1:20" ht="15.95" customHeight="1">
      <c r="A76" s="94"/>
      <c r="B76" s="399"/>
      <c r="C76" s="32" t="s">
        <v>310</v>
      </c>
      <c r="D76" s="405"/>
      <c r="E76" s="384"/>
      <c r="F76" s="378"/>
      <c r="G76" s="357"/>
      <c r="H76" s="369"/>
      <c r="I76" s="369"/>
      <c r="J76" s="369"/>
      <c r="K76" s="369"/>
      <c r="L76" s="369"/>
    </row>
    <row r="77" spans="1:20" ht="6" customHeight="1">
      <c r="H77" s="386"/>
      <c r="I77" s="386"/>
      <c r="J77" s="386"/>
      <c r="K77" s="386"/>
      <c r="L77" s="386"/>
    </row>
    <row r="78" spans="1:20" ht="20.100000000000001" customHeight="1">
      <c r="A78" s="14" t="s">
        <v>308</v>
      </c>
      <c r="B78" s="14"/>
      <c r="C78" s="353"/>
      <c r="D78" s="353"/>
      <c r="E78" s="353"/>
      <c r="F78" s="400">
        <f>SUM(F9:F76)</f>
        <v>0</v>
      </c>
      <c r="G78" s="353"/>
      <c r="H78" s="353"/>
      <c r="I78" s="353"/>
      <c r="J78" s="353"/>
      <c r="K78" s="353"/>
      <c r="L78" s="353"/>
      <c r="M78" s="356"/>
      <c r="N78" s="356"/>
      <c r="O78" s="356"/>
      <c r="P78" s="356"/>
      <c r="Q78" s="356"/>
      <c r="R78" s="356"/>
      <c r="S78" s="356"/>
      <c r="T78" s="356"/>
    </row>
    <row r="79" spans="1:20" ht="15.95" customHeight="1">
      <c r="C79" s="401" t="s">
        <v>309</v>
      </c>
      <c r="D79" s="391">
        <f>(Gemüse_Freiland+Gemüse_geschützt)/data!LN</f>
        <v>0</v>
      </c>
      <c r="E79" s="401"/>
      <c r="F79" s="402"/>
      <c r="G79" s="403"/>
      <c r="H79" s="357"/>
      <c r="I79" s="357"/>
      <c r="J79" s="357"/>
      <c r="K79" s="357"/>
      <c r="L79" s="357"/>
    </row>
    <row r="80" spans="1:20" ht="6" customHeight="1">
      <c r="A80" s="401"/>
      <c r="B80" s="401"/>
      <c r="C80" s="401"/>
      <c r="D80" s="401"/>
      <c r="E80" s="401"/>
      <c r="F80" s="404"/>
      <c r="G80" s="403"/>
      <c r="H80" s="357"/>
      <c r="I80" s="357"/>
      <c r="J80" s="357"/>
      <c r="K80" s="357"/>
      <c r="L80" s="357"/>
    </row>
    <row r="81" spans="1:12" s="489" customFormat="1" ht="24.95" customHeight="1">
      <c r="A81" s="26" t="s">
        <v>421</v>
      </c>
      <c r="B81" s="26"/>
      <c r="C81" s="26"/>
      <c r="D81" s="26"/>
      <c r="E81" s="26"/>
      <c r="F81" s="28"/>
      <c r="G81" s="27">
        <f>F78*D79</f>
        <v>0</v>
      </c>
      <c r="H81" s="26"/>
      <c r="I81" s="26"/>
      <c r="J81" s="26"/>
      <c r="K81" s="26"/>
      <c r="L81" s="26"/>
    </row>
    <row r="82" spans="1:12" ht="6" customHeight="1"/>
    <row r="83" spans="1:12" ht="15.95" customHeight="1">
      <c r="A83" s="537" t="s">
        <v>446</v>
      </c>
      <c r="B83" s="537"/>
      <c r="C83" s="537"/>
      <c r="D83" s="537"/>
      <c r="E83" s="537"/>
      <c r="F83" s="537"/>
      <c r="G83" s="537"/>
      <c r="H83" s="537"/>
      <c r="I83" s="537"/>
      <c r="J83" s="537"/>
      <c r="K83" s="537"/>
      <c r="L83" s="537"/>
    </row>
  </sheetData>
  <sheetProtection sheet="1" selectLockedCells="1"/>
  <mergeCells count="28">
    <mergeCell ref="A83:L83"/>
    <mergeCell ref="C70:D70"/>
    <mergeCell ref="C74:D74"/>
    <mergeCell ref="C50:D50"/>
    <mergeCell ref="C54:D54"/>
    <mergeCell ref="C57:D57"/>
    <mergeCell ref="C62:D62"/>
    <mergeCell ref="C42:D42"/>
    <mergeCell ref="C43:D43"/>
    <mergeCell ref="C46:D46"/>
    <mergeCell ref="C47:D47"/>
    <mergeCell ref="C66:D66"/>
    <mergeCell ref="A40:G40"/>
    <mergeCell ref="A52:G52"/>
    <mergeCell ref="C9:D9"/>
    <mergeCell ref="C10:D10"/>
    <mergeCell ref="C16:D16"/>
    <mergeCell ref="C17:D17"/>
    <mergeCell ref="C20:D20"/>
    <mergeCell ref="C21:D21"/>
    <mergeCell ref="C23:D23"/>
    <mergeCell ref="C25:D25"/>
    <mergeCell ref="C28:D28"/>
    <mergeCell ref="C29:D29"/>
    <mergeCell ref="C32:D32"/>
    <mergeCell ref="C33:D33"/>
    <mergeCell ref="C36:D36"/>
    <mergeCell ref="C38:D38"/>
  </mergeCells>
  <dataValidations count="3">
    <dataValidation type="whole" allowBlank="1" showInputMessage="1" showErrorMessage="1" error="Bitte ganze Zahl eingeben" sqref="B36" xr:uid="{957D48D3-E93B-4E06-9DC1-39EF21342D75}">
      <formula1>0</formula1>
      <formula2>100</formula2>
    </dataValidation>
    <dataValidation type="decimal" operator="lessThanOrEqual" allowBlank="1" showInputMessage="1" showErrorMessage="1" error="Wert darf höchstens so gross sein wie C5_x000a_" sqref="B28" xr:uid="{18792997-2F14-4811-9990-A79B827C168B}">
      <formula1>B23</formula1>
    </dataValidation>
    <dataValidation type="decimal" operator="lessThanOrEqual" allowBlank="1" showInputMessage="1" showErrorMessage="1" sqref="B50" xr:uid="{956AD113-6D71-479A-995D-E7FDB5081115}">
      <formula1>B46</formula1>
    </dataValidation>
  </dataValidations>
  <pageMargins left="0.7" right="0.7" top="0.78740157499999996" bottom="0.78740157499999996" header="0.3" footer="0.3"/>
  <legacyDrawing r:id="rId1"/>
  <extLst>
    <ext xmlns:x14="http://schemas.microsoft.com/office/spreadsheetml/2009/9/main" uri="{CCE6A557-97BC-4b89-ADB6-D9C93CAAB3DF}">
      <x14:dataValidations xmlns:xm="http://schemas.microsoft.com/office/excel/2006/main" count="2">
        <x14:dataValidation type="decimal" operator="lessThanOrEqual" allowBlank="1" showInputMessage="1" showErrorMessage="1" error="Summe von Freilandgemüse, Gemüse im geschützten Anbau und Rebflächen darf nicht grösser sein als Spezialkuluren" xr:uid="{DDC8627D-2F86-4E84-AE21-49C0E6C3C4F4}">
          <x14:formula1>
            <xm:f>data!M12 - Reben!B3 -B3</xm:f>
          </x14:formula1>
          <xm:sqref>B5</xm:sqref>
        </x14:dataValidation>
        <x14:dataValidation type="decimal" operator="lessThanOrEqual" allowBlank="1" showInputMessage="1" showErrorMessage="1" error="Summe von Freilandgemüse, Gemüse im geschützten Anbau und Rebflächen darf nicht grösser sein als Spezialkuluren im Basisblatt (Tal- bzw. Bergzone)" xr:uid="{ED121DB2-6256-4881-B7F9-7B40CB4458F5}">
          <x14:formula1>
            <xm:f>data!M12 -B5-Reben!B3</xm:f>
          </x14:formula1>
          <xm:sqref>B3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7AC1F-DFEF-4683-AC88-66FAD7899E16}">
  <sheetPr>
    <tabColor theme="8" tint="0.79998168889431442"/>
  </sheetPr>
  <dimension ref="A1:AM32"/>
  <sheetViews>
    <sheetView tabSelected="1" zoomScale="145" zoomScaleNormal="145" zoomScaleSheetLayoutView="100" workbookViewId="0">
      <pane ySplit="1" topLeftCell="A2" activePane="bottomLeft" state="frozen"/>
      <selection pane="bottomLeft" activeCell="B3" sqref="B3"/>
    </sheetView>
  </sheetViews>
  <sheetFormatPr baseColWidth="10" defaultColWidth="9.140625" defaultRowHeight="16.5"/>
  <cols>
    <col min="1" max="1" width="4.5703125" style="434" customWidth="1"/>
    <col min="2" max="2" width="8.5703125" style="434" bestFit="1" customWidth="1"/>
    <col min="3" max="3" width="43.140625" style="436" customWidth="1"/>
    <col min="4" max="4" width="25" style="356" customWidth="1"/>
    <col min="5" max="5" width="10.42578125" style="409" customWidth="1"/>
    <col min="6" max="6" width="3.85546875" style="409" customWidth="1"/>
    <col min="7" max="7" width="32" style="436" bestFit="1" customWidth="1"/>
    <col min="8" max="15" width="6.42578125" style="434" hidden="1" customWidth="1"/>
    <col min="16" max="16384" width="9.140625" style="434"/>
  </cols>
  <sheetData>
    <row r="1" spans="1:39" s="481" customFormat="1" ht="24.95" customHeight="1">
      <c r="A1" s="476" t="s">
        <v>370</v>
      </c>
      <c r="B1" s="476"/>
      <c r="C1" s="476"/>
      <c r="D1" s="466" t="s">
        <v>393</v>
      </c>
      <c r="E1" s="483">
        <f>+E30</f>
        <v>0</v>
      </c>
      <c r="F1" s="477"/>
      <c r="G1" s="406">
        <f>+SUM(B3:B24)</f>
        <v>0</v>
      </c>
      <c r="H1" s="478" t="s">
        <v>79</v>
      </c>
      <c r="I1" s="479" t="s">
        <v>80</v>
      </c>
      <c r="J1" s="478" t="s">
        <v>81</v>
      </c>
      <c r="K1" s="479" t="s">
        <v>82</v>
      </c>
      <c r="L1" s="478" t="s">
        <v>83</v>
      </c>
      <c r="M1" s="479" t="s">
        <v>84</v>
      </c>
      <c r="N1" s="478" t="s">
        <v>85</v>
      </c>
      <c r="O1" s="479" t="s">
        <v>86</v>
      </c>
      <c r="P1" s="75"/>
      <c r="Q1" s="75"/>
      <c r="R1" s="75"/>
      <c r="S1" s="75"/>
      <c r="T1" s="480"/>
      <c r="U1" s="480"/>
      <c r="AH1" s="482"/>
      <c r="AI1" s="482"/>
      <c r="AJ1" s="482"/>
      <c r="AK1" s="482"/>
      <c r="AL1" s="482"/>
    </row>
    <row r="2" spans="1:39" s="69" customFormat="1" ht="15.75">
      <c r="A2" s="431"/>
      <c r="B2" s="431"/>
      <c r="D2" s="147" t="s">
        <v>391</v>
      </c>
      <c r="E2" s="71" t="s">
        <v>9</v>
      </c>
      <c r="G2" s="432"/>
      <c r="H2" s="364"/>
      <c r="I2" s="433"/>
      <c r="J2" s="364"/>
      <c r="K2" s="433"/>
      <c r="L2" s="364"/>
      <c r="M2" s="433"/>
      <c r="N2" s="364"/>
      <c r="O2" s="433"/>
      <c r="P2" s="65"/>
      <c r="Q2" s="65"/>
      <c r="R2" s="65"/>
      <c r="S2" s="65"/>
      <c r="T2" s="65"/>
      <c r="U2" s="71"/>
      <c r="V2" s="71"/>
      <c r="AI2" s="73"/>
      <c r="AJ2" s="74"/>
      <c r="AK2" s="74"/>
      <c r="AL2" s="74"/>
      <c r="AM2" s="74"/>
    </row>
    <row r="3" spans="1:39" ht="15.95" customHeight="1">
      <c r="B3" s="164">
        <v>0</v>
      </c>
      <c r="C3" s="358" t="s">
        <v>316</v>
      </c>
      <c r="E3" s="434"/>
      <c r="F3" s="434"/>
      <c r="G3" s="435"/>
      <c r="H3" s="437"/>
      <c r="I3" s="439"/>
      <c r="J3" s="437"/>
      <c r="K3" s="439"/>
      <c r="L3" s="437"/>
      <c r="M3" s="439"/>
      <c r="N3" s="437"/>
      <c r="O3" s="439"/>
      <c r="P3" s="440"/>
    </row>
    <row r="4" spans="1:39" ht="6" customHeight="1">
      <c r="G4" s="435"/>
      <c r="H4" s="437"/>
      <c r="I4" s="438"/>
      <c r="J4" s="437"/>
      <c r="K4" s="438"/>
      <c r="L4" s="437"/>
      <c r="M4" s="438"/>
      <c r="N4" s="437"/>
      <c r="O4" s="438"/>
    </row>
    <row r="5" spans="1:39" ht="15.95" customHeight="1">
      <c r="A5" s="507" t="s">
        <v>466</v>
      </c>
      <c r="B5" s="164">
        <v>0</v>
      </c>
      <c r="C5" s="441" t="s">
        <v>436</v>
      </c>
      <c r="D5" s="396"/>
      <c r="E5" s="442"/>
      <c r="F5" s="442"/>
      <c r="G5" s="435"/>
      <c r="H5" s="437"/>
      <c r="I5" s="438"/>
      <c r="J5" s="437"/>
      <c r="K5" s="438"/>
      <c r="L5" s="437"/>
      <c r="M5" s="438"/>
      <c r="N5" s="437"/>
      <c r="O5" s="438"/>
    </row>
    <row r="6" spans="1:39" ht="15.95" customHeight="1">
      <c r="C6" s="436" t="s">
        <v>372</v>
      </c>
      <c r="D6" s="445">
        <f>+IF(Reben=0, 0,B5/[0]!Reben)</f>
        <v>0</v>
      </c>
      <c r="E6" s="442">
        <f>+IF(D6&gt;N6,O6,IF(D6&gt;L6,M6,IF(D6&gt;J6,K6,IF(D6&gt;H6,I6,0))))</f>
        <v>0</v>
      </c>
      <c r="F6" s="442"/>
      <c r="G6" s="435" t="str">
        <f>+"&gt;"&amp;H6*100&amp;"–"&amp; J6*100&amp;"%"&amp;" = "&amp;I6&amp;" Pkt.; &gt;"&amp;J6*100&amp;"–"&amp;L6*100&amp;"%"&amp;" = "&amp;K6&amp;" Pkt."</f>
        <v>&gt;20–40% = 1 Pkt.; &gt;40–60% = 1.5 Pkt.</v>
      </c>
      <c r="H6" s="443">
        <v>0.2</v>
      </c>
      <c r="I6" s="444">
        <v>1</v>
      </c>
      <c r="J6" s="443">
        <v>0.4</v>
      </c>
      <c r="K6" s="444">
        <v>1.5</v>
      </c>
      <c r="L6" s="443">
        <v>0.6</v>
      </c>
      <c r="M6" s="444">
        <v>2</v>
      </c>
      <c r="N6" s="443">
        <v>0.8</v>
      </c>
      <c r="O6" s="444">
        <v>2.5</v>
      </c>
    </row>
    <row r="7" spans="1:39" ht="15.75" customHeight="1">
      <c r="C7" s="447"/>
      <c r="D7" s="396"/>
      <c r="E7" s="442"/>
      <c r="F7" s="442"/>
      <c r="G7" s="435" t="str">
        <f>+"&gt;"&amp;L6*100&amp;"–"&amp;N6*100&amp;"%"&amp;" = "&amp;M6&amp;" Pkt.; &gt;"&amp;N6*100&amp;"%"&amp;" = "&amp;O6&amp;" Pkt."</f>
        <v>&gt;60–80% = 2 Pkt.; &gt;80% = 2.5 Pkt.</v>
      </c>
      <c r="H7" s="437"/>
      <c r="I7" s="438"/>
      <c r="J7" s="437"/>
      <c r="K7" s="438"/>
      <c r="L7" s="437"/>
      <c r="M7" s="438"/>
      <c r="N7" s="437"/>
      <c r="O7" s="438"/>
    </row>
    <row r="8" spans="1:39" ht="15.75" hidden="1" customHeight="1">
      <c r="C8" s="447"/>
      <c r="D8" s="396"/>
      <c r="E8" s="442"/>
      <c r="F8" s="442"/>
      <c r="G8" s="435"/>
      <c r="H8" s="437"/>
      <c r="I8" s="438"/>
      <c r="J8" s="437"/>
      <c r="K8" s="438"/>
      <c r="L8" s="437"/>
      <c r="M8" s="438"/>
      <c r="N8" s="437"/>
      <c r="O8" s="438"/>
    </row>
    <row r="9" spans="1:39" ht="15.95" customHeight="1">
      <c r="A9" s="507" t="s">
        <v>467</v>
      </c>
      <c r="B9" s="164">
        <v>0</v>
      </c>
      <c r="C9" s="502" t="s">
        <v>422</v>
      </c>
      <c r="D9" s="396"/>
      <c r="E9" s="442"/>
      <c r="F9" s="442"/>
      <c r="G9" s="435"/>
      <c r="H9" s="448"/>
      <c r="I9" s="446"/>
      <c r="J9" s="448"/>
      <c r="K9" s="446"/>
      <c r="L9" s="448"/>
      <c r="M9" s="446"/>
      <c r="N9" s="448"/>
      <c r="O9" s="446"/>
    </row>
    <row r="10" spans="1:39" ht="15.95" customHeight="1">
      <c r="C10" s="502" t="s">
        <v>437</v>
      </c>
      <c r="D10" s="396"/>
      <c r="E10" s="442"/>
      <c r="F10" s="442"/>
      <c r="G10" s="435"/>
      <c r="H10" s="448"/>
      <c r="I10" s="446"/>
      <c r="J10" s="448"/>
      <c r="K10" s="446"/>
      <c r="L10" s="448"/>
      <c r="M10" s="446"/>
      <c r="N10" s="448"/>
      <c r="O10" s="446"/>
    </row>
    <row r="11" spans="1:39" ht="15.95" customHeight="1">
      <c r="C11" s="436" t="s">
        <v>372</v>
      </c>
      <c r="D11" s="445">
        <f>+IF(Reben=0, 0,B9/[0]!Reben)</f>
        <v>0</v>
      </c>
      <c r="E11" s="442">
        <f>+IF(D11=H11,I11,0)</f>
        <v>0</v>
      </c>
      <c r="F11" s="442"/>
      <c r="G11" s="435" t="str">
        <f>+""&amp;H11*100&amp;"%"&amp;" = "&amp;I11&amp;" Pkt."</f>
        <v>100% = 1 Pkt.</v>
      </c>
      <c r="H11" s="448">
        <v>1</v>
      </c>
      <c r="I11" s="446">
        <v>1</v>
      </c>
      <c r="J11" s="448"/>
      <c r="K11" s="446"/>
      <c r="L11" s="448"/>
      <c r="M11" s="446"/>
      <c r="N11" s="448"/>
      <c r="O11" s="446"/>
    </row>
    <row r="12" spans="1:39" ht="6" customHeight="1">
      <c r="C12" s="441"/>
      <c r="D12" s="396"/>
      <c r="E12" s="449"/>
      <c r="F12" s="449"/>
      <c r="G12" s="435"/>
      <c r="H12" s="437"/>
      <c r="I12" s="438"/>
      <c r="J12" s="437"/>
      <c r="K12" s="438"/>
      <c r="L12" s="437"/>
      <c r="M12" s="438"/>
      <c r="N12" s="437"/>
      <c r="O12" s="438"/>
    </row>
    <row r="13" spans="1:39">
      <c r="A13" s="507" t="s">
        <v>468</v>
      </c>
      <c r="B13" s="164">
        <v>0</v>
      </c>
      <c r="C13" s="450" t="s">
        <v>438</v>
      </c>
      <c r="D13" s="396"/>
      <c r="E13" s="442"/>
      <c r="F13" s="442"/>
      <c r="G13" s="435"/>
      <c r="H13" s="437"/>
      <c r="I13" s="438"/>
      <c r="J13" s="437"/>
      <c r="K13" s="438"/>
      <c r="L13" s="437"/>
      <c r="M13" s="438"/>
      <c r="N13" s="437"/>
      <c r="O13" s="438"/>
    </row>
    <row r="14" spans="1:39">
      <c r="C14" s="450" t="s">
        <v>439</v>
      </c>
      <c r="D14" s="396"/>
      <c r="E14" s="442"/>
      <c r="F14" s="442"/>
      <c r="G14" s="503" t="str">
        <f>+"&gt;"&amp;H15*100&amp;"–"&amp;J15*100&amp;"%"&amp;" = "&amp;I15&amp;" Pkt.; &gt;"&amp;J15*100&amp;"–"&amp;L15*100&amp;"%"&amp;" = "&amp;K15&amp;" Pkt."</f>
        <v>&gt;20–40% = 1 Pkt.; &gt;40–60% = 1.5 Pkt.</v>
      </c>
      <c r="H14" s="437"/>
      <c r="I14" s="438"/>
      <c r="J14" s="437"/>
      <c r="K14" s="438"/>
      <c r="L14" s="437"/>
      <c r="M14" s="438"/>
      <c r="N14" s="437"/>
      <c r="O14" s="438"/>
    </row>
    <row r="15" spans="1:39">
      <c r="C15" s="436" t="s">
        <v>372</v>
      </c>
      <c r="D15" s="396">
        <f>+IF(Reben=0, 0,B13/[0]!Reben)</f>
        <v>0</v>
      </c>
      <c r="E15" s="442">
        <f>+IF(D15&gt;N15,O15,IF(D15&gt;L15,M15,IF(D15&gt;J15,K15,IF(D15&gt;H15,I15,0))))</f>
        <v>0</v>
      </c>
      <c r="F15" s="442"/>
      <c r="G15" s="435" t="str">
        <f>+"&gt;"&amp;L15*100&amp;"–"&amp;N15*100&amp;"%"&amp;" = "&amp;M15&amp;" Pkt.; &gt;"&amp;N15*100&amp;"%"&amp;" = "&amp;O15&amp;" Pkt."</f>
        <v>&gt;60–80% = 2 Pkt.; &gt;80% = 2.5 Pkt.</v>
      </c>
      <c r="H15" s="443">
        <v>0.2</v>
      </c>
      <c r="I15" s="446">
        <v>1</v>
      </c>
      <c r="J15" s="443">
        <v>0.4</v>
      </c>
      <c r="K15" s="446">
        <v>1.5</v>
      </c>
      <c r="L15" s="443">
        <v>0.6</v>
      </c>
      <c r="M15" s="446">
        <v>2</v>
      </c>
      <c r="N15" s="443">
        <v>0.8</v>
      </c>
      <c r="O15" s="446">
        <v>2.5</v>
      </c>
    </row>
    <row r="16" spans="1:39" ht="6" customHeight="1">
      <c r="C16" s="441"/>
      <c r="D16" s="396"/>
      <c r="E16" s="449"/>
      <c r="F16" s="449"/>
      <c r="G16" s="451"/>
      <c r="H16" s="437"/>
      <c r="I16" s="438"/>
      <c r="J16" s="437"/>
      <c r="K16" s="438"/>
      <c r="L16" s="437"/>
      <c r="M16" s="438"/>
      <c r="N16" s="437"/>
      <c r="O16" s="438"/>
    </row>
    <row r="17" spans="1:21">
      <c r="A17" s="507" t="s">
        <v>469</v>
      </c>
      <c r="B17" s="164">
        <v>0</v>
      </c>
      <c r="C17" s="450" t="s">
        <v>440</v>
      </c>
      <c r="D17" s="396"/>
      <c r="E17" s="442"/>
      <c r="F17" s="442"/>
      <c r="G17" s="435"/>
      <c r="H17" s="437"/>
      <c r="I17" s="438"/>
      <c r="J17" s="437"/>
      <c r="K17" s="438"/>
      <c r="L17" s="437"/>
      <c r="M17" s="438"/>
      <c r="N17" s="437"/>
      <c r="O17" s="438"/>
    </row>
    <row r="18" spans="1:21">
      <c r="B18" s="450"/>
      <c r="C18" s="450" t="s">
        <v>441</v>
      </c>
      <c r="D18" s="396"/>
      <c r="E18" s="442"/>
      <c r="F18" s="442"/>
      <c r="G18" s="503" t="str">
        <f>+"&gt;"&amp;H19*100&amp;"–"&amp;J19*100&amp;"%"&amp;" = "&amp;I19&amp;" Pkt.; &gt;"&amp;J19*100&amp;"–"&amp;L19*100&amp;"%"&amp;" = "&amp;K19&amp;" Pkt."</f>
        <v>&gt;20–40% = 1.5 Pkt.; &gt;40–60% = 2 Pkt.</v>
      </c>
      <c r="H18" s="437"/>
      <c r="I18" s="438"/>
      <c r="J18" s="437"/>
      <c r="K18" s="438"/>
      <c r="L18" s="437"/>
      <c r="M18" s="438"/>
      <c r="N18" s="437"/>
      <c r="O18" s="438"/>
    </row>
    <row r="19" spans="1:21" ht="15.95" customHeight="1">
      <c r="C19" s="436" t="s">
        <v>372</v>
      </c>
      <c r="D19" s="396">
        <f>+IF(Reben=0, 0,B17/[0]!Reben)</f>
        <v>0</v>
      </c>
      <c r="E19" s="442">
        <f>+IF(D19&gt;N19,O19,IF(D19&gt;L19,M19,IF(D19&gt;J19,K19,IF(D19&gt;H19,I19,0))))</f>
        <v>0</v>
      </c>
      <c r="F19" s="442"/>
      <c r="G19" s="435" t="str">
        <f>+"&gt;"&amp;L19*100&amp;"–"&amp;N19*100&amp;"%"&amp;" = "&amp;M19&amp;" Pkt.; &gt;"&amp;N19*100&amp;"%"&amp;" = "&amp;O19&amp;" Pkt."</f>
        <v>&gt;60–80% = 2.5 Pkt.; &gt;80% = 3 Pkt.</v>
      </c>
      <c r="H19" s="443">
        <v>0.2</v>
      </c>
      <c r="I19" s="446">
        <v>1.5</v>
      </c>
      <c r="J19" s="443">
        <v>0.4</v>
      </c>
      <c r="K19" s="446">
        <v>2</v>
      </c>
      <c r="L19" s="443">
        <v>0.6</v>
      </c>
      <c r="M19" s="446">
        <v>2.5</v>
      </c>
      <c r="N19" s="443">
        <v>0.8</v>
      </c>
      <c r="O19" s="446">
        <v>3</v>
      </c>
    </row>
    <row r="20" spans="1:21" ht="6" customHeight="1">
      <c r="C20" s="441"/>
      <c r="D20" s="396"/>
      <c r="E20" s="449"/>
      <c r="F20" s="449"/>
      <c r="G20" s="451"/>
      <c r="H20" s="437"/>
      <c r="I20" s="438"/>
      <c r="J20" s="437"/>
      <c r="K20" s="438"/>
      <c r="L20" s="437"/>
      <c r="M20" s="438"/>
      <c r="N20" s="437"/>
      <c r="O20" s="438"/>
    </row>
    <row r="21" spans="1:21" ht="15.95" customHeight="1">
      <c r="A21" s="507" t="s">
        <v>470</v>
      </c>
      <c r="B21" s="164">
        <v>0</v>
      </c>
      <c r="C21" s="453" t="s">
        <v>442</v>
      </c>
      <c r="D21" s="396"/>
      <c r="E21" s="442"/>
      <c r="F21" s="442"/>
      <c r="G21" s="435" t="str">
        <f>+"&gt;"&amp;H22*100&amp;"–"&amp;J22*100&amp;"%"&amp;" = "&amp;I22&amp;" Pkt.; &gt;"&amp;J22*100&amp;"–"&amp;L22*100&amp;"%"&amp;" = "&amp;K22&amp;" Pkt."</f>
        <v>&gt;2–5% = 0.5 Pkt.; &gt;5–10% = 1 Pkt.</v>
      </c>
      <c r="H21" s="437"/>
      <c r="I21" s="438"/>
      <c r="J21" s="437"/>
      <c r="K21" s="438"/>
      <c r="L21" s="437"/>
      <c r="M21" s="438"/>
      <c r="N21" s="437"/>
      <c r="O21" s="438"/>
    </row>
    <row r="22" spans="1:21" ht="15.95" customHeight="1">
      <c r="C22" s="436" t="s">
        <v>372</v>
      </c>
      <c r="D22" s="396">
        <f>+IF(Reben=0, 0,B21/[0]!Reben)</f>
        <v>0</v>
      </c>
      <c r="E22" s="442">
        <f>+IF(D22&gt;L22,M22,IF(D22&gt;J22,K22,IF(D22&gt;H22,I22,0)))</f>
        <v>0</v>
      </c>
      <c r="F22" s="442"/>
      <c r="G22" s="435" t="str">
        <f>+"&gt;"&amp;L22*100&amp;"%"&amp;" = "&amp;M22&amp;" Pkt."</f>
        <v>&gt;10% = 2 Pkt.</v>
      </c>
      <c r="H22" s="443">
        <v>0.02</v>
      </c>
      <c r="I22" s="446">
        <v>0.5</v>
      </c>
      <c r="J22" s="443">
        <v>0.05</v>
      </c>
      <c r="K22" s="446">
        <v>1</v>
      </c>
      <c r="L22" s="443">
        <v>0.1</v>
      </c>
      <c r="M22" s="446">
        <v>2</v>
      </c>
      <c r="N22" s="443"/>
      <c r="O22" s="446"/>
    </row>
    <row r="23" spans="1:21" ht="6" customHeight="1">
      <c r="C23" s="453"/>
      <c r="D23" s="396"/>
      <c r="E23" s="442"/>
      <c r="F23" s="442"/>
      <c r="G23" s="435"/>
      <c r="H23" s="437"/>
      <c r="I23" s="438"/>
      <c r="J23" s="437"/>
      <c r="K23" s="438"/>
      <c r="L23" s="437"/>
      <c r="M23" s="438"/>
      <c r="N23" s="437"/>
      <c r="O23" s="438"/>
    </row>
    <row r="24" spans="1:21">
      <c r="A24" s="507" t="s">
        <v>471</v>
      </c>
      <c r="B24" s="164">
        <v>0</v>
      </c>
      <c r="C24" s="506" t="s">
        <v>443</v>
      </c>
      <c r="D24" s="396"/>
      <c r="E24" s="449"/>
      <c r="F24" s="449"/>
      <c r="G24" s="503" t="str">
        <f>+"&gt;"&amp;H25*100&amp;"–"&amp;J25*100&amp;"%"&amp;" = "&amp;I25&amp;" Pkt.; &gt;"&amp;J25*100&amp;"–"&amp;L25*100&amp;"%"&amp;" = "&amp;K25&amp;" Pkt."</f>
        <v>&gt;20–40% = 1 Pkt.; &gt;40–60% = 2 Pkt.</v>
      </c>
      <c r="H24" s="437"/>
      <c r="I24" s="438"/>
      <c r="J24" s="437"/>
      <c r="K24" s="438"/>
      <c r="L24" s="437"/>
      <c r="M24" s="438"/>
      <c r="N24" s="437"/>
      <c r="O24" s="438"/>
    </row>
    <row r="25" spans="1:21" ht="15.95" customHeight="1">
      <c r="C25" s="436" t="s">
        <v>372</v>
      </c>
      <c r="D25" s="396">
        <f>+IF(Reben=0, 0,B24/[0]!Reben)</f>
        <v>0</v>
      </c>
      <c r="E25" s="442">
        <f>+IF(D25&gt;N25,O25,IF(D25&gt;L25,M25,IF(D25&gt;J25,K25,IF(D25&gt;H25,I25,0))))</f>
        <v>0</v>
      </c>
      <c r="F25" s="442"/>
      <c r="G25" s="435" t="str">
        <f>+"&gt;"&amp;L25*100&amp;"–"&amp;N25*100&amp;"%"&amp;" = "&amp;M25&amp;" Pkt.; &gt;"&amp;N25*100&amp;"%"&amp;" = "&amp;O25&amp;" Pkt."</f>
        <v>&gt;60–80% = 3 Pkt.; &gt;80% = 4 Pkt.</v>
      </c>
      <c r="H25" s="443">
        <v>0.2</v>
      </c>
      <c r="I25" s="446">
        <v>1</v>
      </c>
      <c r="J25" s="443">
        <v>0.4</v>
      </c>
      <c r="K25" s="446">
        <v>2</v>
      </c>
      <c r="L25" s="443">
        <v>0.6</v>
      </c>
      <c r="M25" s="446">
        <v>3</v>
      </c>
      <c r="N25" s="443">
        <v>0.8</v>
      </c>
      <c r="O25" s="446">
        <v>4</v>
      </c>
    </row>
    <row r="26" spans="1:21" ht="6" customHeight="1">
      <c r="C26" s="441"/>
      <c r="E26" s="449"/>
      <c r="F26" s="449"/>
      <c r="G26" s="452"/>
    </row>
    <row r="27" spans="1:21">
      <c r="A27" s="454" t="s">
        <v>202</v>
      </c>
      <c r="B27" s="455"/>
      <c r="C27" s="456"/>
      <c r="D27" s="354"/>
      <c r="E27" s="457">
        <f>E6+E11+E15+E19+E22+E25</f>
        <v>0</v>
      </c>
      <c r="F27" s="457"/>
      <c r="G27" s="458"/>
    </row>
    <row r="28" spans="1:21" ht="6" customHeight="1">
      <c r="B28" s="459"/>
      <c r="E28" s="449"/>
      <c r="F28" s="449"/>
      <c r="G28" s="459"/>
    </row>
    <row r="29" spans="1:21" ht="15.95" customHeight="1">
      <c r="B29" s="396">
        <f>Reben/data!LN</f>
        <v>0</v>
      </c>
      <c r="C29" s="434" t="s">
        <v>371</v>
      </c>
      <c r="E29" s="449"/>
      <c r="F29" s="449"/>
      <c r="G29" s="452"/>
    </row>
    <row r="30" spans="1:21" s="463" customFormat="1" ht="27" customHeight="1">
      <c r="A30" s="26" t="s">
        <v>423</v>
      </c>
      <c r="B30" s="460"/>
      <c r="C30" s="461"/>
      <c r="D30" s="462"/>
      <c r="E30" s="27">
        <f>+E27*B29</f>
        <v>0</v>
      </c>
      <c r="F30" s="27"/>
      <c r="G30" s="460"/>
      <c r="H30" s="154"/>
      <c r="I30" s="64"/>
      <c r="J30" s="64"/>
      <c r="K30" s="64"/>
      <c r="L30" s="64"/>
      <c r="M30" s="64"/>
      <c r="N30" s="64"/>
    </row>
    <row r="31" spans="1:21" ht="6" customHeight="1"/>
    <row r="32" spans="1:21" ht="15.95" customHeight="1">
      <c r="A32" s="525" t="s">
        <v>448</v>
      </c>
      <c r="B32" s="525"/>
      <c r="C32" s="525"/>
      <c r="D32" s="525"/>
      <c r="E32" s="525"/>
      <c r="F32" s="525"/>
      <c r="G32" s="525"/>
      <c r="H32" s="159"/>
      <c r="I32" s="159"/>
      <c r="J32" s="159"/>
      <c r="K32" s="159"/>
      <c r="L32" s="159"/>
      <c r="M32" s="159"/>
      <c r="N32" s="159"/>
      <c r="O32" s="159"/>
      <c r="P32" s="159"/>
      <c r="Q32" s="159"/>
      <c r="R32" s="159"/>
      <c r="S32" s="159"/>
      <c r="T32" s="159"/>
      <c r="U32" s="159"/>
    </row>
  </sheetData>
  <sheetProtection sheet="1" selectLockedCells="1"/>
  <mergeCells count="1">
    <mergeCell ref="A32:G32"/>
  </mergeCells>
  <dataValidations count="2">
    <dataValidation type="decimal" allowBlank="1" showInputMessage="1" showErrorMessage="1" errorTitle="ungültiger Wert" error="Geben Sie eine Zahl ein, die höchstens so gross ist wie die Rebfläche" promptTitle="Anzahl ha" sqref="B13 B5 B24 B9 B21 B17" xr:uid="{C1DEB234-B7C6-4464-A387-00090B26F93A}">
      <formula1>0</formula1>
      <formula2>Reben</formula2>
    </dataValidation>
    <dataValidation type="decimal" showInputMessage="1" showErrorMessage="1" errorTitle="ungültiger Wert" error="Maximal 3 Punkte nach Absprache mit Gutachter einsetzen!" sqref="E30:F30" xr:uid="{7C586ACB-33F8-4D48-B780-D3C2893A7C12}">
      <formula1>0</formula1>
      <formula2>3</formula2>
    </dataValidation>
  </dataValidations>
  <pageMargins left="0.23622047244094491" right="0.23622047244094491" top="0.74803149606299213" bottom="0.74803149606299213" header="0.31496062992125984" footer="0.31496062992125984"/>
  <pageSetup paperSize="9" fitToHeight="0" orientation="portrait" r:id="rId1"/>
  <legacyDrawing r:id="rId2"/>
  <extLst>
    <ext xmlns:x14="http://schemas.microsoft.com/office/spreadsheetml/2009/9/main" uri="{CCE6A557-97BC-4b89-ADB6-D9C93CAAB3DF}">
      <x14:dataValidations xmlns:xm="http://schemas.microsoft.com/office/excel/2006/main" count="1">
        <x14:dataValidation type="decimal" operator="lessThanOrEqual" allowBlank="1" showInputMessage="1" showErrorMessage="1" error="Summe von Reben und Gemüse darf nicht grösser sein als Spezialkuluren im Basisblatt (Tal- bzw. Bergzone)" xr:uid="{922D945F-85ED-4E39-8CB8-B41EE934748D}">
          <x14:formula1>
            <xm:f>data!M12 -Gemüse!B3 -Gemüse!B5</xm:f>
          </x14:formula1>
          <xm:sqref>B3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5C166-8A39-4E2F-AF97-D7FF92BC2B95}">
  <dimension ref="A1:O104"/>
  <sheetViews>
    <sheetView zoomScale="140" zoomScaleNormal="140" workbookViewId="0">
      <selection activeCell="P11" sqref="P11"/>
    </sheetView>
  </sheetViews>
  <sheetFormatPr baseColWidth="10" defaultRowHeight="12.75"/>
  <cols>
    <col min="1" max="1" width="25.42578125" customWidth="1"/>
    <col min="2" max="3" width="11.42578125" style="38"/>
    <col min="4" max="6" width="11.42578125" style="40"/>
    <col min="7" max="8" width="11.42578125" style="42"/>
    <col min="9" max="11" width="11.42578125" style="44"/>
  </cols>
  <sheetData>
    <row r="1" spans="1:15">
      <c r="B1" s="37" t="s">
        <v>351</v>
      </c>
      <c r="C1" s="37" t="s">
        <v>352</v>
      </c>
      <c r="D1" s="39" t="s">
        <v>381</v>
      </c>
      <c r="E1" s="39" t="s">
        <v>382</v>
      </c>
      <c r="F1" s="39" t="s">
        <v>383</v>
      </c>
      <c r="G1" s="41" t="s">
        <v>353</v>
      </c>
      <c r="H1" s="41" t="s">
        <v>384</v>
      </c>
      <c r="I1" s="43" t="s">
        <v>433</v>
      </c>
      <c r="J1" s="43" t="s">
        <v>434</v>
      </c>
      <c r="K1" s="43" t="s">
        <v>435</v>
      </c>
      <c r="L1" s="1" t="s">
        <v>396</v>
      </c>
      <c r="M1" s="1" t="s">
        <v>397</v>
      </c>
      <c r="N1" s="1" t="s">
        <v>398</v>
      </c>
      <c r="O1" s="1" t="s">
        <v>399</v>
      </c>
    </row>
    <row r="2" spans="1:15">
      <c r="B2" s="37"/>
      <c r="C2" s="37"/>
      <c r="D2" s="39"/>
      <c r="E2" s="39"/>
      <c r="F2" s="39"/>
      <c r="G2" s="41"/>
      <c r="H2" s="41"/>
      <c r="I2" s="43"/>
      <c r="J2" s="43"/>
      <c r="K2" s="43"/>
      <c r="L2" s="1"/>
      <c r="M2" s="1"/>
      <c r="N2" s="1"/>
      <c r="O2" s="1"/>
    </row>
    <row r="4" spans="1:15">
      <c r="A4" s="1" t="s">
        <v>474</v>
      </c>
      <c r="B4" s="407" t="b">
        <f>+Talzone!U1=0</f>
        <v>1</v>
      </c>
      <c r="C4" s="38" t="b">
        <f>+Bergzone!U1=0</f>
        <v>1</v>
      </c>
      <c r="D4" s="408" t="b">
        <f>+'Hof+'!F1=0</f>
        <v>1</v>
      </c>
      <c r="E4" s="408" t="b">
        <f>+Gemüse!L1=0</f>
        <v>1</v>
      </c>
      <c r="F4" s="408" t="b">
        <f>+Reben!G1=0</f>
        <v>1</v>
      </c>
      <c r="G4" s="42" t="e">
        <f>+#REF!=0</f>
        <v>#REF!</v>
      </c>
      <c r="H4" s="42" t="e">
        <f>+#REF!=0</f>
        <v>#REF!</v>
      </c>
      <c r="I4" s="44" t="e">
        <f>+#REF!=0</f>
        <v>#REF!</v>
      </c>
      <c r="J4" s="44" t="e">
        <f>+#REF!=0</f>
        <v>#REF!</v>
      </c>
      <c r="K4" s="44" t="e">
        <f>+#REF!=0</f>
        <v>#REF!</v>
      </c>
      <c r="L4" s="1">
        <f>COUNTIF(B4:F4, FALSE)</f>
        <v>0</v>
      </c>
      <c r="N4" s="1">
        <f>COUNTIF(G4:K4, FALSE)</f>
        <v>0</v>
      </c>
    </row>
    <row r="6" spans="1:15">
      <c r="A6" s="1" t="s">
        <v>400</v>
      </c>
      <c r="L6" s="1">
        <f>COUNTIF(L8:L104,"&gt;1")</f>
        <v>0</v>
      </c>
      <c r="N6" s="1">
        <f>COUNTIF(N8:N104,"&gt;1")</f>
        <v>0</v>
      </c>
    </row>
    <row r="7" spans="1:15">
      <c r="A7" s="1" t="s">
        <v>401</v>
      </c>
      <c r="L7" s="1"/>
    </row>
    <row r="9" spans="1:15">
      <c r="A9" s="1" t="s">
        <v>387</v>
      </c>
      <c r="B9" s="37">
        <f>Talzone!LN</f>
        <v>1</v>
      </c>
      <c r="C9" s="37">
        <f>Bergzone!LN</f>
        <v>1</v>
      </c>
      <c r="L9">
        <f>COUNTIF(B9:F9,"&gt;1")</f>
        <v>0</v>
      </c>
      <c r="M9">
        <f>IF(MAX(B9:F9)&gt;0,MAX(B9:F9),1)</f>
        <v>1</v>
      </c>
    </row>
    <row r="10" spans="1:15">
      <c r="A10" s="1" t="s">
        <v>386</v>
      </c>
      <c r="G10" s="42" t="e">
        <f>[0]!LN</f>
        <v>#REF!</v>
      </c>
      <c r="H10" s="42" t="e">
        <f>[0]!LN</f>
        <v>#REF!</v>
      </c>
      <c r="N10">
        <f>COUNTIF(G10:K10,"&gt;1")</f>
        <v>0</v>
      </c>
      <c r="O10" t="e">
        <f>MAX(G10:K10)</f>
        <v>#REF!</v>
      </c>
    </row>
    <row r="12" spans="1:15">
      <c r="A12" s="1" t="s">
        <v>388</v>
      </c>
      <c r="B12" s="38">
        <f>+Talzone!Spezialkulturen</f>
        <v>0</v>
      </c>
      <c r="C12" s="38">
        <f>+Bergzone!Spezialkulturen</f>
        <v>0</v>
      </c>
      <c r="L12">
        <f>COUNTIF(B12:F12,"&gt;0")</f>
        <v>0</v>
      </c>
      <c r="M12">
        <f>MAX(B12:K12)</f>
        <v>0</v>
      </c>
    </row>
    <row r="13" spans="1:15">
      <c r="A13" s="1" t="s">
        <v>395</v>
      </c>
      <c r="G13" s="42" t="e">
        <f>+[0]!Spezialkulturen</f>
        <v>#REF!</v>
      </c>
      <c r="H13" s="42" t="e">
        <f>+[0]!Spezialkulturen</f>
        <v>#REF!</v>
      </c>
      <c r="N13">
        <f>COUNTIF(G13:K13,"&gt;0")</f>
        <v>0</v>
      </c>
      <c r="O13" t="e">
        <f>MAX(G13:K13)</f>
        <v>#REF!</v>
      </c>
    </row>
    <row r="104" spans="1:1">
      <c r="A104" s="1" t="s">
        <v>385</v>
      </c>
    </row>
  </sheetData>
  <conditionalFormatting sqref="L4">
    <cfRule type="cellIs" dxfId="11" priority="7" operator="greaterThan">
      <formula>0</formula>
    </cfRule>
    <cfRule type="cellIs" dxfId="10" priority="8" operator="greaterThan">
      <formula>1</formula>
    </cfRule>
    <cfRule type="cellIs" dxfId="9" priority="9" operator="greaterThan">
      <formula>0</formula>
    </cfRule>
  </conditionalFormatting>
  <conditionalFormatting sqref="L6:L7">
    <cfRule type="cellIs" dxfId="8" priority="10" operator="greaterThan">
      <formula>0</formula>
    </cfRule>
    <cfRule type="cellIs" dxfId="7" priority="11" operator="greaterThan">
      <formula>1</formula>
    </cfRule>
    <cfRule type="cellIs" dxfId="6" priority="12" operator="greaterThan">
      <formula>0</formula>
    </cfRule>
  </conditionalFormatting>
  <conditionalFormatting sqref="N4">
    <cfRule type="cellIs" dxfId="5" priority="4" operator="greaterThan">
      <formula>0</formula>
    </cfRule>
    <cfRule type="cellIs" dxfId="4" priority="5" operator="greaterThan">
      <formula>1</formula>
    </cfRule>
    <cfRule type="cellIs" dxfId="3" priority="6" operator="greaterThan">
      <formula>0</formula>
    </cfRule>
  </conditionalFormatting>
  <conditionalFormatting sqref="N6">
    <cfRule type="cellIs" dxfId="2" priority="1" operator="greaterThan">
      <formula>0</formula>
    </cfRule>
    <cfRule type="cellIs" dxfId="1" priority="2" operator="greaterThan">
      <formula>1</formula>
    </cfRule>
    <cfRule type="cellIs" dxfId="0" priority="3" operator="greaterThan">
      <formula>0</formula>
    </cfRule>
  </conditionalFormatting>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B1F190022C1C84A831B3A1F3D0D4B23" ma:contentTypeVersion="19" ma:contentTypeDescription="Ein neues Dokument erstellen." ma:contentTypeScope="" ma:versionID="51e52a4ab88c02d7941c2225e3e5ae6d">
  <xsd:schema xmlns:xsd="http://www.w3.org/2001/XMLSchema" xmlns:xs="http://www.w3.org/2001/XMLSchema" xmlns:p="http://schemas.microsoft.com/office/2006/metadata/properties" xmlns:ns2="64de2e10-ee86-4bfc-912b-c9858ce9334b" xmlns:ns3="ff08531f-ab27-4e6c-bfcc-422da4b8b471" targetNamespace="http://schemas.microsoft.com/office/2006/metadata/properties" ma:root="true" ma:fieldsID="acec35a4f30d6d82fe9ec4e455c71454" ns2:_="" ns3:_="">
    <xsd:import namespace="64de2e10-ee86-4bfc-912b-c9858ce9334b"/>
    <xsd:import namespace="ff08531f-ab27-4e6c-bfcc-422da4b8b4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de2e10-ee86-4bfc-912b-c9858ce933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c029d8f7-f5c7-4d0d-8363-585babc5a1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08531f-ab27-4e6c-bfcc-422da4b8b471"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4cc41956-b76c-4ef7-8b3d-1883e8cd3f42}" ma:internalName="TaxCatchAll" ma:showField="CatchAllData" ma:web="ff08531f-ab27-4e6c-bfcc-422da4b8b4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de2e10-ee86-4bfc-912b-c9858ce9334b">
      <Terms xmlns="http://schemas.microsoft.com/office/infopath/2007/PartnerControls"/>
    </lcf76f155ced4ddcb4097134ff3c332f>
    <TaxCatchAll xmlns="ff08531f-ab27-4e6c-bfcc-422da4b8b471" xsi:nil="true"/>
  </documentManagement>
</p:properties>
</file>

<file path=customXml/itemProps1.xml><?xml version="1.0" encoding="utf-8"?>
<ds:datastoreItem xmlns:ds="http://schemas.openxmlformats.org/officeDocument/2006/customXml" ds:itemID="{E9B0C3C6-39B1-4A17-AA19-C9D2D9527E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de2e10-ee86-4bfc-912b-c9858ce9334b"/>
    <ds:schemaRef ds:uri="ff08531f-ab27-4e6c-bfcc-422da4b8b4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991599-828E-4A08-A334-79846D2D7AD8}">
  <ds:schemaRefs>
    <ds:schemaRef ds:uri="http://schemas.microsoft.com/sharepoint/v3/contenttype/forms"/>
  </ds:schemaRefs>
</ds:datastoreItem>
</file>

<file path=customXml/itemProps3.xml><?xml version="1.0" encoding="utf-8"?>
<ds:datastoreItem xmlns:ds="http://schemas.openxmlformats.org/officeDocument/2006/customXml" ds:itemID="{8DCCCBD5-470D-43FD-8628-14ED59D4AA9C}">
  <ds:schemaRefs>
    <ds:schemaRef ds:uri="http://schemas.microsoft.com/office/infopath/2007/PartnerControls"/>
    <ds:schemaRef ds:uri="64de2e10-ee86-4bfc-912b-c9858ce9334b"/>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ff08531f-ab27-4e6c-bfcc-422da4b8b47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37</vt:i4>
      </vt:variant>
    </vt:vector>
  </HeadingPairs>
  <TitlesOfParts>
    <vt:vector size="43" baseType="lpstr">
      <vt:lpstr>Talzone</vt:lpstr>
      <vt:lpstr>Bergzone</vt:lpstr>
      <vt:lpstr>Hof+</vt:lpstr>
      <vt:lpstr>Gemüse</vt:lpstr>
      <vt:lpstr>Reben</vt:lpstr>
      <vt:lpstr>data</vt:lpstr>
      <vt:lpstr>Bergzone!Ackerfläche</vt:lpstr>
      <vt:lpstr>Talzone!Ackerfläche</vt:lpstr>
      <vt:lpstr>avertissement</vt:lpstr>
      <vt:lpstr>Bergzone!DGL</vt:lpstr>
      <vt:lpstr>Talzone!DGL</vt:lpstr>
      <vt:lpstr>Bergzone!DGL_Streue</vt:lpstr>
      <vt:lpstr>Talzone!DGL_Streue</vt:lpstr>
      <vt:lpstr>Bergzone!DGVE</vt:lpstr>
      <vt:lpstr>Bergzone!Druckbereich</vt:lpstr>
      <vt:lpstr>Reben!Druckbereich</vt:lpstr>
      <vt:lpstr>Talzone!Druckbereich</vt:lpstr>
      <vt:lpstr>Bergzone!Extensivweide</vt:lpstr>
      <vt:lpstr>Gemüse!Gemüse_Freiland</vt:lpstr>
      <vt:lpstr>Gemüse!Gemüse_geschützt</vt:lpstr>
      <vt:lpstr>Kunstwiesen_Tal</vt:lpstr>
      <vt:lpstr>Bergzone!LN</vt:lpstr>
      <vt:lpstr>data!LN</vt:lpstr>
      <vt:lpstr>'Hof+'!LN</vt:lpstr>
      <vt:lpstr>Talzone!LN</vt:lpstr>
      <vt:lpstr>LNB</vt:lpstr>
      <vt:lpstr>Bergzone!Nutzungsparzellen</vt:lpstr>
      <vt:lpstr>Nutzungsparzellen</vt:lpstr>
      <vt:lpstr>öAF_mit_Bäumen</vt:lpstr>
      <vt:lpstr>Bergzone!öAF_ohne_Bäume</vt:lpstr>
      <vt:lpstr>öAF_ohne_Bäume</vt:lpstr>
      <vt:lpstr>Bergzone!offene_Ackerfläche</vt:lpstr>
      <vt:lpstr>offene_Ackerfläche</vt:lpstr>
      <vt:lpstr>Pkt_Hofplus</vt:lpstr>
      <vt:lpstr>Reben</vt:lpstr>
      <vt:lpstr>data!SAU</vt:lpstr>
      <vt:lpstr>Bergzone!Spezialkulturen</vt:lpstr>
      <vt:lpstr>data!Spezialkulturen</vt:lpstr>
      <vt:lpstr>Talzone!Spezialkulturen</vt:lpstr>
      <vt:lpstr>Bergzone!Streuefläche</vt:lpstr>
      <vt:lpstr>Streuefläche</vt:lpstr>
      <vt:lpstr>übrige_Fläche</vt:lpstr>
      <vt:lpstr>Warnung</vt:lpstr>
    </vt:vector>
  </TitlesOfParts>
  <Company>Schweizerische Vogelwarte Sempach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dc:creator>
  <cp:lastModifiedBy>Simon Birrer</cp:lastModifiedBy>
  <cp:lastPrinted>2025-12-01T14:13:33Z</cp:lastPrinted>
  <dcterms:created xsi:type="dcterms:W3CDTF">2007-02-13T14:09:25Z</dcterms:created>
  <dcterms:modified xsi:type="dcterms:W3CDTF">2026-03-30T09:35:44Z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0x0101004B1F190022C1C84A831B3A1F3D0D4B23</vt:lpwstr>
  </property>
</Properties>
</file>