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threadedComments/threadedComment1.xml" ContentType="application/vnd.ms-excel.threadedcomments+xml"/>
  <Override PartName="/xl/comments4.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DieseArbeitsmappe"/>
  <mc:AlternateContent xmlns:mc="http://schemas.openxmlformats.org/markup-compatibility/2006">
    <mc:Choice Requires="x15">
      <x15ac:absPath xmlns:x15ac="http://schemas.microsoft.com/office/spreadsheetml/2010/11/ac" url="C:\Users\sb\Desktop\"/>
    </mc:Choice>
  </mc:AlternateContent>
  <xr:revisionPtr revIDLastSave="0" documentId="13_ncr:1_{32DA666B-1A11-4FAF-AED0-CDD23E7D32A0}" xr6:coauthVersionLast="47" xr6:coauthVersionMax="47" xr10:uidLastSave="{00000000-0000-0000-0000-000000000000}"/>
  <bookViews>
    <workbookView xWindow="-120" yWindow="-120" windowWidth="38640" windowHeight="21390" tabRatio="774" xr2:uid="{00000000-000D-0000-FFFF-FFFF00000000}"/>
  </bookViews>
  <sheets>
    <sheet name="plaine" sheetId="22" r:id="rId1"/>
    <sheet name="montagne" sheetId="23" r:id="rId2"/>
    <sheet name="ferme+" sheetId="29" r:id="rId3"/>
    <sheet name="maraîchère" sheetId="30" r:id="rId4"/>
    <sheet name="viticulture" sheetId="31" r:id="rId5"/>
    <sheet name="data" sheetId="28" state="hidden" r:id="rId6"/>
  </sheets>
  <definedNames>
    <definedName name="Ackerfläche" localSheetId="1">montagne!$C$17</definedName>
    <definedName name="Ackerfläche" localSheetId="0">plaine!$C$17</definedName>
    <definedName name="avertissement">data!$N$6</definedName>
    <definedName name="DGL" localSheetId="1">montagne!$B$14</definedName>
    <definedName name="DGL" localSheetId="0">plaine!$B$14</definedName>
    <definedName name="DGL_Streue" localSheetId="1">montagne!$D$19</definedName>
    <definedName name="DGL_Streue" localSheetId="0">plaine!$D$19</definedName>
    <definedName name="DGVE" localSheetId="1">montagne!$B$31</definedName>
    <definedName name="DGVE" localSheetId="0">plaine!#REF!</definedName>
    <definedName name="_xlnm.Print_Area" localSheetId="1">montagne!$A$2:$U$234</definedName>
    <definedName name="_xlnm.Print_Area" localSheetId="0">plaine!$A$2:$U$234</definedName>
    <definedName name="_xlnm.Print_Area" localSheetId="4">viticulture!$A$1:$G$30</definedName>
    <definedName name="Extensivweide" localSheetId="1">montagne!$G$60</definedName>
    <definedName name="Extensivweide" localSheetId="0">plaine!$G$60</definedName>
    <definedName name="Gemüse_Freiland" localSheetId="3">maraîchère!$B$3</definedName>
    <definedName name="Gemüse_geschützt" localSheetId="3">maraîchère!$B$5</definedName>
    <definedName name="intensiv_Grünland_u_Kunstwiese" localSheetId="1">montagne!$B$14-montagne!$G$94+montagne!$B$16</definedName>
    <definedName name="intensiv_Grünland_u_Kunstwiese" localSheetId="0">plaine!$B$14-plaine!$G$94+plaine!$B$16</definedName>
    <definedName name="intensiv_Grünland_u_Kunstwiese">#REF!-#REF!+#REF!</definedName>
    <definedName name="Kunstwiesen_Tal">#REF!</definedName>
    <definedName name="LN" localSheetId="5">data!$M$9</definedName>
    <definedName name="LN" localSheetId="2">'ferme+'!$B$13</definedName>
    <definedName name="LN" localSheetId="1">montagne!$B$13</definedName>
    <definedName name="LN" localSheetId="0">plaine!$B$13</definedName>
    <definedName name="LN">#REF!</definedName>
    <definedName name="LNB">#REF!</definedName>
    <definedName name="Nutzungsparzellen" localSheetId="1">montagne!$B$40</definedName>
    <definedName name="Nutzungsparzellen" localSheetId="0">plaine!$B$40</definedName>
    <definedName name="Nutzungsparzellen">#REF!</definedName>
    <definedName name="öAF_mit_Bäumen">#REF!</definedName>
    <definedName name="öAF_ohne_Bäume" localSheetId="1">montagne!$G$76</definedName>
    <definedName name="öAF_ohne_Bäume" localSheetId="0">plaine!$G$76</definedName>
    <definedName name="öAF_ohne_Bäume">#REF!</definedName>
    <definedName name="offene_Ackerfläche" localSheetId="1">montagne!$B$15</definedName>
    <definedName name="offene_Ackerfläche" localSheetId="0">plaine!$B$15</definedName>
    <definedName name="offene_Ackerfläche">#REF!</definedName>
    <definedName name="Pkt_Hofplus" localSheetId="2">'ferme+'!$E$59</definedName>
    <definedName name="Pkt_Hofplus">#REF!</definedName>
    <definedName name="Reben" localSheetId="4">viticulture!$B$3</definedName>
    <definedName name="Reben">#REF!</definedName>
    <definedName name="SAU" localSheetId="5">data!$O$10</definedName>
    <definedName name="SAU">plaine!$B$13</definedName>
    <definedName name="Spezialkulturen" localSheetId="5">data!$M$12</definedName>
    <definedName name="Spezialkulturen" localSheetId="1">montagne!$B$22</definedName>
    <definedName name="Spezialkulturen" localSheetId="0">plaine!$B$22</definedName>
    <definedName name="Spezialkulturen">#REF!</definedName>
    <definedName name="Streuefläche" localSheetId="1">montagne!$G$69</definedName>
    <definedName name="Streuefläche" localSheetId="0">plaine!$G$69</definedName>
    <definedName name="Streuefläche">#REF!</definedName>
    <definedName name="übrige_Fläche">#REF!</definedName>
    <definedName name="Warnung">data!$L$6</definedName>
    <definedName name="Z_2515DDB7_9BA3_48FA_88DC_CCB335C94A34_.wvu.Cols" localSheetId="1" hidden="1">montagne!#REF!</definedName>
    <definedName name="Z_2515DDB7_9BA3_48FA_88DC_CCB335C94A34_.wvu.Cols" localSheetId="0" hidden="1">plaine!#REF!</definedName>
    <definedName name="Z_2515DDB7_9BA3_48FA_88DC_CCB335C94A34_.wvu.PrintArea" localSheetId="1" hidden="1">montagne!$A$2:$U$226</definedName>
    <definedName name="Z_2515DDB7_9BA3_48FA_88DC_CCB335C94A34_.wvu.PrintArea" localSheetId="0" hidden="1">plaine!$A$2:$U$226</definedName>
    <definedName name="Z_2515DDB7_9BA3_48FA_88DC_CCB335C94A34_.wvu.Rows" localSheetId="1" hidden="1">montagne!$182:$183,montagne!#REF!</definedName>
    <definedName name="Z_2515DDB7_9BA3_48FA_88DC_CCB335C94A34_.wvu.Rows" localSheetId="0" hidden="1">plaine!$34:$34,plaine!$182:$183,plaine!#REF!</definedName>
  </definedNames>
  <calcPr calcId="191029"/>
  <customWorkbookViews>
    <customWorkbookView name="Simon Birrer - Persönliche Ansicht" guid="{2515DDB7-9BA3-48FA-88DC-CCB335C94A34}" mergeInterval="0" personalView="1" xWindow="-2" yWindow="32" windowWidth="1315" windowHeight="810" tabRatio="774"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75" i="23" l="1"/>
  <c r="I97" i="23"/>
  <c r="I97" i="22"/>
  <c r="I79" i="22"/>
  <c r="I79" i="23"/>
  <c r="I76" i="23"/>
  <c r="I76" i="22"/>
  <c r="U1" i="23"/>
  <c r="H4" i="28" s="1"/>
  <c r="H10" i="28"/>
  <c r="G10" i="28"/>
  <c r="C9" i="28"/>
  <c r="B9" i="28"/>
  <c r="L9" i="28" s="1"/>
  <c r="K4" i="28"/>
  <c r="I4" i="28"/>
  <c r="F4" i="28"/>
  <c r="E4" i="28"/>
  <c r="M58" i="22"/>
  <c r="M58" i="23"/>
  <c r="R37" i="22"/>
  <c r="Q37" i="22"/>
  <c r="P37" i="22"/>
  <c r="O37" i="22"/>
  <c r="D37" i="22"/>
  <c r="M37" i="22" s="1"/>
  <c r="I50" i="30"/>
  <c r="F50" i="30"/>
  <c r="L1" i="30"/>
  <c r="J4" i="28" s="1"/>
  <c r="K63" i="22"/>
  <c r="K62" i="22"/>
  <c r="K61" i="22"/>
  <c r="E25" i="31"/>
  <c r="E22" i="31"/>
  <c r="E19" i="31"/>
  <c r="E15" i="31"/>
  <c r="E11" i="31"/>
  <c r="M9" i="28" l="1"/>
  <c r="E7" i="31"/>
  <c r="G6" i="31" l="1"/>
  <c r="K70" i="30"/>
  <c r="J70" i="30"/>
  <c r="I70" i="30"/>
  <c r="H70" i="30"/>
  <c r="K66" i="30"/>
  <c r="J66" i="30"/>
  <c r="I66" i="30"/>
  <c r="H66" i="30"/>
  <c r="K62" i="30"/>
  <c r="J62" i="30"/>
  <c r="I62" i="30"/>
  <c r="H62" i="30"/>
  <c r="K57" i="30"/>
  <c r="J57" i="30"/>
  <c r="I57" i="30"/>
  <c r="H57" i="30"/>
  <c r="K54" i="30"/>
  <c r="J54" i="30"/>
  <c r="I54" i="30"/>
  <c r="H54" i="30"/>
  <c r="K46" i="30"/>
  <c r="J46" i="30"/>
  <c r="I46" i="30"/>
  <c r="K42" i="30"/>
  <c r="J42" i="30"/>
  <c r="I42" i="30"/>
  <c r="H42" i="30"/>
  <c r="K32" i="30"/>
  <c r="J32" i="30"/>
  <c r="I32" i="30"/>
  <c r="H32" i="30"/>
  <c r="K23" i="30"/>
  <c r="J23" i="30"/>
  <c r="I23" i="30"/>
  <c r="H23" i="30"/>
  <c r="K20" i="30"/>
  <c r="J20" i="30"/>
  <c r="I20" i="30"/>
  <c r="H20" i="30"/>
  <c r="K16" i="30"/>
  <c r="J16" i="30"/>
  <c r="I16" i="30"/>
  <c r="H16" i="30"/>
  <c r="K12" i="30"/>
  <c r="J12" i="30"/>
  <c r="I12" i="30"/>
  <c r="H12" i="30"/>
  <c r="K9" i="30"/>
  <c r="J9" i="30"/>
  <c r="I9" i="30"/>
  <c r="I91" i="23" l="1"/>
  <c r="T98" i="23"/>
  <c r="S86" i="23"/>
  <c r="R86" i="23"/>
  <c r="Q86" i="23"/>
  <c r="P86" i="23"/>
  <c r="O86" i="23"/>
  <c r="S85" i="23"/>
  <c r="R85" i="23"/>
  <c r="Q85" i="23"/>
  <c r="P85" i="23"/>
  <c r="O85" i="23"/>
  <c r="R43" i="23"/>
  <c r="Q43" i="23"/>
  <c r="P43" i="23"/>
  <c r="O43" i="23"/>
  <c r="R42" i="23"/>
  <c r="Q42" i="23"/>
  <c r="P42" i="23"/>
  <c r="O42" i="23"/>
  <c r="Q41" i="22"/>
  <c r="P41" i="22"/>
  <c r="O41" i="22"/>
  <c r="Q50" i="22"/>
  <c r="P50" i="22"/>
  <c r="O50" i="22"/>
  <c r="S84" i="22"/>
  <c r="R84" i="22"/>
  <c r="Q84" i="22"/>
  <c r="P84" i="22"/>
  <c r="O84" i="22"/>
  <c r="S107" i="22"/>
  <c r="R107" i="22"/>
  <c r="Q107" i="22"/>
  <c r="P107" i="22"/>
  <c r="S111" i="22"/>
  <c r="R111" i="22"/>
  <c r="Q111" i="22"/>
  <c r="P111" i="22"/>
  <c r="Q116" i="22"/>
  <c r="P116" i="22"/>
  <c r="O116" i="22"/>
  <c r="Q121" i="22"/>
  <c r="P121" i="22"/>
  <c r="O121" i="22"/>
  <c r="Q125" i="22"/>
  <c r="P125" i="22"/>
  <c r="O125" i="22"/>
  <c r="Q135" i="22"/>
  <c r="P135" i="22"/>
  <c r="O135" i="22"/>
  <c r="Q137" i="22"/>
  <c r="P137" i="22"/>
  <c r="O137" i="22"/>
  <c r="Q139" i="22"/>
  <c r="P139" i="22"/>
  <c r="O139" i="22"/>
  <c r="Q141" i="22"/>
  <c r="P141" i="22"/>
  <c r="O141" i="22"/>
  <c r="Q143" i="22"/>
  <c r="P143" i="22"/>
  <c r="O143" i="22"/>
  <c r="Q145" i="22"/>
  <c r="P145" i="22"/>
  <c r="O145" i="22"/>
  <c r="Q147" i="22"/>
  <c r="P147" i="22"/>
  <c r="O147" i="22"/>
  <c r="Q149" i="22"/>
  <c r="P149" i="22"/>
  <c r="O149" i="22"/>
  <c r="Q151" i="22"/>
  <c r="P151" i="22"/>
  <c r="O151" i="22"/>
  <c r="Q153" i="22"/>
  <c r="P153" i="22"/>
  <c r="O153" i="22"/>
  <c r="Q166" i="22"/>
  <c r="P166" i="22"/>
  <c r="O166" i="22"/>
  <c r="Q168" i="22"/>
  <c r="P168" i="22"/>
  <c r="O168" i="22"/>
  <c r="Q170" i="22"/>
  <c r="P170" i="22"/>
  <c r="O170" i="22"/>
  <c r="Q172" i="22"/>
  <c r="P172" i="22"/>
  <c r="O172" i="22"/>
  <c r="Q177" i="22"/>
  <c r="P177" i="22"/>
  <c r="O177" i="22"/>
  <c r="Q179" i="22"/>
  <c r="P179" i="22"/>
  <c r="O179" i="22"/>
  <c r="Q181" i="22"/>
  <c r="P181" i="22"/>
  <c r="O181" i="22"/>
  <c r="Q194" i="22"/>
  <c r="P194" i="22"/>
  <c r="O194" i="22"/>
  <c r="Q197" i="23"/>
  <c r="P197" i="23"/>
  <c r="O197" i="23"/>
  <c r="Q197" i="22"/>
  <c r="P197" i="22"/>
  <c r="O197" i="22"/>
  <c r="O212" i="22"/>
  <c r="O210" i="22"/>
  <c r="O208" i="22"/>
  <c r="O212" i="23"/>
  <c r="O210" i="23"/>
  <c r="O208" i="23"/>
  <c r="G24" i="31"/>
  <c r="G14" i="31"/>
  <c r="G7" i="31"/>
  <c r="G11" i="31"/>
  <c r="G15" i="31"/>
  <c r="G18" i="31"/>
  <c r="G19" i="31"/>
  <c r="G21" i="31"/>
  <c r="G22" i="31"/>
  <c r="G25" i="31"/>
  <c r="D63" i="30" l="1"/>
  <c r="F62" i="30" s="1"/>
  <c r="E200" i="23" l="1"/>
  <c r="E201" i="23" s="1"/>
  <c r="E202" i="23" s="1"/>
  <c r="I199" i="23" s="1"/>
  <c r="I200" i="23" s="1"/>
  <c r="I201" i="23" s="1"/>
  <c r="I202" i="23" s="1"/>
  <c r="E200" i="22"/>
  <c r="E201" i="22" s="1"/>
  <c r="E202" i="22" s="1"/>
  <c r="I199" i="22" s="1"/>
  <c r="I200" i="22" s="1"/>
  <c r="I201" i="22" s="1"/>
  <c r="I202" i="22" s="1"/>
  <c r="I69" i="23"/>
  <c r="I69" i="22"/>
  <c r="R155" i="23"/>
  <c r="Q155" i="23"/>
  <c r="P155" i="23"/>
  <c r="O155" i="23"/>
  <c r="C155" i="23"/>
  <c r="M155" i="23" s="1"/>
  <c r="R151" i="23"/>
  <c r="Q151" i="23"/>
  <c r="P151" i="23"/>
  <c r="O151" i="23"/>
  <c r="C151" i="23"/>
  <c r="M151" i="23" s="1"/>
  <c r="C153" i="23"/>
  <c r="M153" i="23" s="1"/>
  <c r="O153" i="23"/>
  <c r="P153" i="23"/>
  <c r="Q153" i="23"/>
  <c r="R153" i="23"/>
  <c r="R151" i="22"/>
  <c r="C151" i="22"/>
  <c r="M151" i="22" s="1"/>
  <c r="C153" i="22"/>
  <c r="M153" i="22" s="1"/>
  <c r="R153" i="22"/>
  <c r="D25" i="31"/>
  <c r="D22" i="31"/>
  <c r="D19" i="31"/>
  <c r="D15" i="31"/>
  <c r="D11" i="31"/>
  <c r="D7" i="31"/>
  <c r="G1" i="31"/>
  <c r="D75" i="30"/>
  <c r="F74" i="30" s="1"/>
  <c r="K74" i="30"/>
  <c r="J74" i="30"/>
  <c r="I74" i="30"/>
  <c r="H74" i="30"/>
  <c r="D71" i="30"/>
  <c r="F70" i="30" s="1"/>
  <c r="D67" i="30"/>
  <c r="F66" i="30" s="1"/>
  <c r="D59" i="30"/>
  <c r="F57" i="30" s="1"/>
  <c r="D55" i="30"/>
  <c r="F54" i="30" s="1"/>
  <c r="D48" i="30"/>
  <c r="F46" i="30" s="1"/>
  <c r="D44" i="30"/>
  <c r="F42" i="30" s="1"/>
  <c r="F36" i="30"/>
  <c r="D34" i="30"/>
  <c r="F32" i="30" s="1"/>
  <c r="D30" i="30"/>
  <c r="F28" i="30"/>
  <c r="D26" i="30"/>
  <c r="F23" i="30" s="1"/>
  <c r="F20" i="30"/>
  <c r="D18" i="30"/>
  <c r="F16" i="30" s="1"/>
  <c r="D14" i="30"/>
  <c r="F12" i="30" s="1"/>
  <c r="F9" i="30"/>
  <c r="I1" i="30"/>
  <c r="E59" i="29"/>
  <c r="E1" i="29" s="1"/>
  <c r="C57" i="29"/>
  <c r="G59" i="29" s="1"/>
  <c r="B56" i="29"/>
  <c r="E56" i="29" s="1"/>
  <c r="F1" i="29"/>
  <c r="B18" i="23"/>
  <c r="B18" i="22"/>
  <c r="T98" i="22"/>
  <c r="G76" i="23"/>
  <c r="G77" i="23" s="1"/>
  <c r="G76" i="22"/>
  <c r="I91" i="22"/>
  <c r="G83" i="23"/>
  <c r="B82" i="23"/>
  <c r="B81" i="23"/>
  <c r="G83" i="22"/>
  <c r="B82" i="22"/>
  <c r="B81" i="22"/>
  <c r="R37" i="23"/>
  <c r="Q37" i="23"/>
  <c r="P37" i="23"/>
  <c r="O37" i="23"/>
  <c r="D37" i="23"/>
  <c r="M37" i="23" s="1"/>
  <c r="H13" i="28"/>
  <c r="G13" i="28"/>
  <c r="B23" i="23"/>
  <c r="B21" i="23"/>
  <c r="B23" i="22"/>
  <c r="B21" i="22"/>
  <c r="K66" i="22"/>
  <c r="N10" i="28"/>
  <c r="D4" i="28"/>
  <c r="C12" i="28"/>
  <c r="B12" i="28"/>
  <c r="L12" i="28" s="1"/>
  <c r="L6" i="28" s="1"/>
  <c r="N13" i="28" l="1"/>
  <c r="O13" i="28"/>
  <c r="O10" i="28"/>
  <c r="M219" i="22"/>
  <c r="M219" i="23"/>
  <c r="K76" i="22"/>
  <c r="B115" i="22" s="1"/>
  <c r="C116" i="22" s="1"/>
  <c r="E27" i="31"/>
  <c r="F78" i="30"/>
  <c r="M12" i="28"/>
  <c r="B29" i="31" l="1"/>
  <c r="E30" i="31" s="1"/>
  <c r="D79" i="30"/>
  <c r="G81" i="30" s="1"/>
  <c r="N6" i="28"/>
  <c r="I14" i="23"/>
  <c r="I15" i="23"/>
  <c r="I16" i="23"/>
  <c r="K16" i="23"/>
  <c r="C17" i="23"/>
  <c r="D19" i="23"/>
  <c r="B26" i="23"/>
  <c r="C177" i="23" s="1"/>
  <c r="M177" i="23" s="1"/>
  <c r="I27" i="23"/>
  <c r="I28" i="23"/>
  <c r="E31" i="23"/>
  <c r="M42" i="23"/>
  <c r="M43" i="23"/>
  <c r="B50" i="23"/>
  <c r="M50" i="23" s="1"/>
  <c r="P50" i="23"/>
  <c r="Q50" i="23"/>
  <c r="R50" i="23"/>
  <c r="I61" i="23"/>
  <c r="K61" i="23"/>
  <c r="I62" i="23"/>
  <c r="K62" i="23"/>
  <c r="I63" i="23"/>
  <c r="K63" i="23"/>
  <c r="I64" i="23"/>
  <c r="K66" i="23"/>
  <c r="G74" i="23"/>
  <c r="I74" i="23"/>
  <c r="W79" i="23"/>
  <c r="T85" i="23"/>
  <c r="T86" i="23"/>
  <c r="G94" i="23"/>
  <c r="G101" i="23"/>
  <c r="W101" i="23" s="1"/>
  <c r="G102" i="23"/>
  <c r="C106" i="23"/>
  <c r="M106" i="23" s="1"/>
  <c r="O106" i="23"/>
  <c r="P106" i="23"/>
  <c r="Q106" i="23"/>
  <c r="R106" i="23"/>
  <c r="S106" i="23"/>
  <c r="T106" i="23"/>
  <c r="O116" i="23"/>
  <c r="P116" i="23"/>
  <c r="Q116" i="23"/>
  <c r="C120" i="23"/>
  <c r="M120" i="23" s="1"/>
  <c r="O120" i="23"/>
  <c r="P120" i="23"/>
  <c r="Q120" i="23"/>
  <c r="R120" i="23"/>
  <c r="C135" i="23"/>
  <c r="M135" i="23" s="1"/>
  <c r="O135" i="23"/>
  <c r="P135" i="23"/>
  <c r="Q135" i="23"/>
  <c r="R135" i="23"/>
  <c r="C137" i="23"/>
  <c r="M137" i="23" s="1"/>
  <c r="O137" i="23"/>
  <c r="P137" i="23"/>
  <c r="Q137" i="23"/>
  <c r="R137" i="23"/>
  <c r="C139" i="23"/>
  <c r="M139" i="23" s="1"/>
  <c r="O139" i="23"/>
  <c r="P139" i="23"/>
  <c r="Q139" i="23"/>
  <c r="R139" i="23"/>
  <c r="C141" i="23"/>
  <c r="M141" i="23" s="1"/>
  <c r="O141" i="23"/>
  <c r="P141" i="23"/>
  <c r="Q141" i="23"/>
  <c r="R141" i="23"/>
  <c r="C143" i="23"/>
  <c r="M143" i="23" s="1"/>
  <c r="O143" i="23"/>
  <c r="P143" i="23"/>
  <c r="Q143" i="23"/>
  <c r="R143" i="23"/>
  <c r="C145" i="23"/>
  <c r="M145" i="23" s="1"/>
  <c r="O145" i="23"/>
  <c r="P145" i="23"/>
  <c r="Q145" i="23"/>
  <c r="R145" i="23"/>
  <c r="C147" i="23"/>
  <c r="M147" i="23" s="1"/>
  <c r="O147" i="23"/>
  <c r="P147" i="23"/>
  <c r="Q147" i="23"/>
  <c r="R147" i="23"/>
  <c r="C149" i="23"/>
  <c r="M149" i="23" s="1"/>
  <c r="O149" i="23"/>
  <c r="P149" i="23"/>
  <c r="Q149" i="23"/>
  <c r="R149" i="23"/>
  <c r="G158" i="23"/>
  <c r="O166" i="23"/>
  <c r="P166" i="23"/>
  <c r="Q166" i="23"/>
  <c r="R166" i="23"/>
  <c r="O168" i="23"/>
  <c r="P168" i="23"/>
  <c r="Q168" i="23"/>
  <c r="R168" i="23"/>
  <c r="O170" i="23"/>
  <c r="P170" i="23"/>
  <c r="Q170" i="23"/>
  <c r="R170" i="23"/>
  <c r="O172" i="23"/>
  <c r="P172" i="23"/>
  <c r="Q172" i="23"/>
  <c r="R172" i="23"/>
  <c r="O177" i="23"/>
  <c r="P177" i="23"/>
  <c r="Q177" i="23"/>
  <c r="R177" i="23"/>
  <c r="O179" i="23"/>
  <c r="P179" i="23"/>
  <c r="Q179" i="23"/>
  <c r="R179" i="23"/>
  <c r="O181" i="23"/>
  <c r="P181" i="23"/>
  <c r="Q181" i="23"/>
  <c r="R181" i="23"/>
  <c r="C194" i="23"/>
  <c r="M194" i="23" s="1"/>
  <c r="O194" i="23"/>
  <c r="P194" i="23"/>
  <c r="Q194" i="23"/>
  <c r="R194" i="23"/>
  <c r="K197" i="23"/>
  <c r="M197" i="23" s="1"/>
  <c r="R197" i="23"/>
  <c r="C199" i="23"/>
  <c r="M205" i="23"/>
  <c r="M208" i="23"/>
  <c r="P208" i="23"/>
  <c r="M210" i="23"/>
  <c r="P210" i="23"/>
  <c r="M212" i="23"/>
  <c r="P212" i="23"/>
  <c r="K14" i="22"/>
  <c r="K15" i="22"/>
  <c r="K16" i="22"/>
  <c r="M16" i="22"/>
  <c r="C17" i="22"/>
  <c r="G88" i="22" s="1"/>
  <c r="D19" i="22"/>
  <c r="B26" i="22"/>
  <c r="B29" i="22" s="1"/>
  <c r="K27" i="22"/>
  <c r="K28" i="22"/>
  <c r="E31" i="22"/>
  <c r="M41" i="22"/>
  <c r="B50" i="22"/>
  <c r="M50" i="22" s="1"/>
  <c r="I61" i="22"/>
  <c r="I62" i="22"/>
  <c r="M116" i="22"/>
  <c r="I63" i="22"/>
  <c r="I64" i="22"/>
  <c r="I94" i="22"/>
  <c r="G74" i="22"/>
  <c r="G79" i="22" s="1"/>
  <c r="I74" i="22"/>
  <c r="C41" i="22"/>
  <c r="T84" i="22"/>
  <c r="G94" i="22"/>
  <c r="T107" i="22"/>
  <c r="D111" i="22"/>
  <c r="T111" i="22"/>
  <c r="R121" i="22"/>
  <c r="D125" i="22"/>
  <c r="R125" i="22"/>
  <c r="C135" i="22"/>
  <c r="M135" i="22" s="1"/>
  <c r="R135" i="22"/>
  <c r="C137" i="22"/>
  <c r="M137" i="22" s="1"/>
  <c r="R137" i="22"/>
  <c r="C139" i="22"/>
  <c r="M139" i="22" s="1"/>
  <c r="R139" i="22"/>
  <c r="C141" i="22"/>
  <c r="M141" i="22" s="1"/>
  <c r="R141" i="22"/>
  <c r="C143" i="22"/>
  <c r="M143" i="22" s="1"/>
  <c r="R143" i="22"/>
  <c r="C145" i="22"/>
  <c r="M145" i="22" s="1"/>
  <c r="R145" i="22"/>
  <c r="C147" i="22"/>
  <c r="M147" i="22" s="1"/>
  <c r="R147" i="22"/>
  <c r="C149" i="22"/>
  <c r="M149" i="22" s="1"/>
  <c r="R149" i="22"/>
  <c r="G158" i="22"/>
  <c r="R166" i="22"/>
  <c r="R168" i="22"/>
  <c r="R170" i="22"/>
  <c r="R172" i="22"/>
  <c r="B175" i="22"/>
  <c r="C179" i="22" s="1"/>
  <c r="M179" i="22" s="1"/>
  <c r="R177" i="22"/>
  <c r="R179" i="22"/>
  <c r="R181" i="22"/>
  <c r="C194" i="22"/>
  <c r="M194" i="22" s="1"/>
  <c r="R194" i="22"/>
  <c r="K197" i="22"/>
  <c r="M197" i="22" s="1"/>
  <c r="R197" i="22"/>
  <c r="C199" i="22"/>
  <c r="M205" i="22"/>
  <c r="M208" i="22"/>
  <c r="P208" i="22"/>
  <c r="M210" i="22"/>
  <c r="P210" i="22"/>
  <c r="M212" i="22"/>
  <c r="P212" i="22"/>
  <c r="M9" i="23" l="1"/>
  <c r="M9" i="22"/>
  <c r="G95" i="22"/>
  <c r="W95" i="22" s="1"/>
  <c r="M223" i="22"/>
  <c r="M223" i="23"/>
  <c r="M221" i="22"/>
  <c r="M221" i="23"/>
  <c r="G95" i="23"/>
  <c r="W95" i="23" s="1"/>
  <c r="K76" i="23"/>
  <c r="E1" i="31"/>
  <c r="G88" i="23"/>
  <c r="G89" i="23" s="1"/>
  <c r="W89" i="23" s="1"/>
  <c r="B115" i="23"/>
  <c r="I98" i="23"/>
  <c r="M98" i="23" s="1"/>
  <c r="C106" i="22"/>
  <c r="M107" i="22" s="1"/>
  <c r="M108" i="22" s="1"/>
  <c r="G89" i="22"/>
  <c r="W89" i="22" s="1"/>
  <c r="B43" i="23"/>
  <c r="I94" i="23"/>
  <c r="I95" i="23" s="1"/>
  <c r="K26" i="22"/>
  <c r="B85" i="23"/>
  <c r="I26" i="23"/>
  <c r="K27" i="23" s="1"/>
  <c r="C177" i="22"/>
  <c r="M177" i="22" s="1"/>
  <c r="M86" i="23"/>
  <c r="I92" i="23"/>
  <c r="I17" i="23"/>
  <c r="M157" i="23"/>
  <c r="N160" i="23" s="1"/>
  <c r="G100" i="23"/>
  <c r="W100" i="23" s="1"/>
  <c r="G77" i="22"/>
  <c r="G186" i="23"/>
  <c r="G79" i="23"/>
  <c r="D183" i="23"/>
  <c r="M183" i="23" s="1"/>
  <c r="C179" i="23"/>
  <c r="M179" i="23" s="1"/>
  <c r="B86" i="23"/>
  <c r="C172" i="23"/>
  <c r="M172" i="23" s="1"/>
  <c r="C168" i="23"/>
  <c r="M168" i="23" s="1"/>
  <c r="D41" i="23"/>
  <c r="B42" i="23"/>
  <c r="C181" i="23"/>
  <c r="M181" i="23" s="1"/>
  <c r="C170" i="23"/>
  <c r="M170" i="23" s="1"/>
  <c r="C166" i="23"/>
  <c r="M166" i="23" s="1"/>
  <c r="G186" i="22"/>
  <c r="C120" i="22"/>
  <c r="M121" i="22" s="1"/>
  <c r="M122" i="22" s="1"/>
  <c r="G84" i="22"/>
  <c r="C181" i="22"/>
  <c r="M181" i="22" s="1"/>
  <c r="M157" i="22"/>
  <c r="N160" i="22" s="1"/>
  <c r="W79" i="22"/>
  <c r="D183" i="22"/>
  <c r="M183" i="22" s="1"/>
  <c r="C110" i="22"/>
  <c r="M111" i="22" s="1"/>
  <c r="M112" i="22" s="1"/>
  <c r="I92" i="22"/>
  <c r="C172" i="22"/>
  <c r="M172" i="22" s="1"/>
  <c r="C168" i="22"/>
  <c r="M168" i="22" s="1"/>
  <c r="C124" i="22"/>
  <c r="M125" i="22" s="1"/>
  <c r="M126" i="22" s="1"/>
  <c r="K17" i="22"/>
  <c r="I98" i="22"/>
  <c r="M98" i="22" s="1"/>
  <c r="C170" i="22"/>
  <c r="M170" i="22" s="1"/>
  <c r="C166" i="22"/>
  <c r="M166" i="22" s="1"/>
  <c r="D121" i="22"/>
  <c r="I95" i="22"/>
  <c r="U1" i="22" l="1"/>
  <c r="G4" i="28" s="1"/>
  <c r="N4" i="28" s="1"/>
  <c r="N225" i="23"/>
  <c r="N225" i="22"/>
  <c r="C116" i="23"/>
  <c r="M116" i="23" s="1"/>
  <c r="W77" i="23"/>
  <c r="W77" i="22"/>
  <c r="B100" i="22"/>
  <c r="K28" i="23"/>
  <c r="B29" i="23"/>
  <c r="M185" i="23"/>
  <c r="N188" i="23" s="1"/>
  <c r="G84" i="23"/>
  <c r="M85" i="23" s="1"/>
  <c r="B103" i="23"/>
  <c r="C103" i="23" s="1"/>
  <c r="M84" i="22"/>
  <c r="N128" i="22" s="1"/>
  <c r="M185" i="22"/>
  <c r="N188" i="22" s="1"/>
  <c r="N128" i="23" l="1"/>
  <c r="N232" i="23" s="1"/>
  <c r="N232" i="22"/>
  <c r="M1" i="22" s="1"/>
  <c r="M1" i="23" l="1"/>
  <c r="C87" i="23" s="1"/>
  <c r="C87" i="22" l="1"/>
  <c r="B4" i="28" l="1"/>
  <c r="C4" i="28" l="1"/>
  <c r="L4" i="28"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Simon Birrer</author>
  </authors>
  <commentList>
    <comment ref="W1" authorId="0" shapeId="0" xr:uid="{00000000-0006-0000-0400-000001000000}">
      <text>
        <r>
          <rPr>
            <b/>
            <sz val="12"/>
            <color indexed="81"/>
            <rFont val="Tahoma"/>
            <family val="2"/>
          </rPr>
          <t>zur Zeit nicht aktiv: 
falls 1 
 missachtet</t>
        </r>
      </text>
    </comment>
    <comment ref="C15" authorId="0" shapeId="0" xr:uid="{7308B878-D792-47FB-A7B8-7E862C1F8C97}">
      <text>
        <r>
          <rPr>
            <sz val="9"/>
            <color indexed="81"/>
            <rFont val="Segoe UI"/>
            <family val="2"/>
          </rPr>
          <t>Les terres ouvertes comprennent toutes les terres assolées. Les SPB telles que les ourlets (559), les bandes culturales extensives, les jachères florales (556) et tournantes (557), ainsi que lesbandes semées pour organismes utiles dans les terres ouvertes (572) font aussi partie des terres ouvertes.</t>
        </r>
      </text>
    </comment>
    <comment ref="C16" authorId="0" shapeId="0" xr:uid="{2E9EF6DE-332E-41E0-ACC8-15A1C9484B9F}">
      <text>
        <r>
          <rPr>
            <sz val="9"/>
            <color indexed="81"/>
            <rFont val="Segoe UI"/>
            <family val="2"/>
          </rPr>
          <t>Font partie des prairies temporaires, toutes les prairies des terres assolées de 6 ans au maximum.</t>
        </r>
      </text>
    </comment>
    <comment ref="D17" authorId="0" shapeId="0" xr:uid="{900A05D3-1461-4984-883F-A0E2122EDD78}">
      <text>
        <r>
          <rPr>
            <sz val="9"/>
            <color indexed="81"/>
            <rFont val="Segoe UI"/>
            <family val="2"/>
          </rPr>
          <t>Cette valeur est calculée automatiquement. Elle comprend les terres ouvertes et les prairies artificielles (601).</t>
        </r>
      </text>
    </comment>
    <comment ref="C18" authorId="0" shapeId="0" xr:uid="{7D18FC16-1B61-4087-AD61-85464E497F23}">
      <text>
        <r>
          <rPr>
            <sz val="9"/>
            <color indexed="81"/>
            <rFont val="Segoe UI"/>
            <family val="2"/>
          </rPr>
          <t>Sont indiquées toutes les surfaces qui n'ont pas pu être indiquées aux chiffres "1.1.1 Prairies permanentes" à "1.1.4 Terres assolée", comme par exemple les surfaces à litière (851), les cultures permanentes telles que les baies pluriannuelles (705), les vergers (702, 703, 704), les cultures d'arbres de Noël (712), etc. La somme de "1.1.1 Prairies permanentes" à "1.1.5 Litière, cultures permanentes, autres surfaces" doit correspondre à la SAU (ch. "1.1 SAU").</t>
        </r>
      </text>
    </comment>
    <comment ref="C22" authorId="0" shapeId="0" xr:uid="{8320C49B-ABDB-4A49-8532-DA4BA33AB328}">
      <text>
        <r>
          <rPr>
            <sz val="9"/>
            <color indexed="81"/>
            <rFont val="Segoe UI"/>
            <family val="2"/>
          </rPr>
          <t xml:space="preserve">Toutes les cultures spéciales selon l'OFAG peuvent être indiquées ici. La surface de toutes les cultures spéciales est visible dans la fiche de données structurelles cantonale. </t>
        </r>
      </text>
    </comment>
    <comment ref="C26" authorId="0" shapeId="0" xr:uid="{A12A4835-8B2D-4B61-80B3-063D394F7069}">
      <text>
        <r>
          <rPr>
            <sz val="9"/>
            <color indexed="81"/>
            <rFont val="Segoe UI"/>
            <family val="2"/>
          </rPr>
          <t>Si la SAU de l’exploitation s’étend sur plusieurs zones, les surfaces doivent être inscrites dans les zones correspondantes (1.2.1 et 1.2.2). La somme de 1.2 à 1.2.2 doit correspondre à la SAU (pt 1.1).</t>
        </r>
      </text>
    </comment>
    <comment ref="B36" authorId="0" shapeId="0" xr:uid="{14163AB2-26AE-40BD-9F64-C51FC2DD3B85}">
      <text>
        <r>
          <rPr>
            <b/>
            <sz val="10"/>
            <color indexed="81"/>
            <rFont val="Tahoma"/>
            <family val="2"/>
          </rPr>
          <t>in Grundeinstellung auf 9999 stellen</t>
        </r>
      </text>
    </comment>
    <comment ref="C40" authorId="0" shapeId="0" xr:uid="{7EC16179-8089-4A62-AD25-7AE6C9B461B1}">
      <text>
        <r>
          <rPr>
            <sz val="9"/>
            <color indexed="81"/>
            <rFont val="Segoe UI"/>
            <family val="2"/>
          </rPr>
          <t>Une parcelle exploitée est une surface cultivée du même type de culture (par ex. blé, prairie intensive, orge, pâturage intensif, maïs, etc.). Les SPB ne sont pas considérées en tant que parcelles exploitées. Si la même culture est cultivée sur deux parcelles cadastrales attenantes, elles sont considérées comme une seule parcelle d’exploitation. Inversement, une parcelle cadastrale est considérée comme deux parcelles exploitées, si elle est cultivée avec deux cultures différentes ou par des utilisations différentes de la prairie. Pour les mêmes cultures, par ex. le blé, on distingue le blé d’automne et le blé de printemps. Parmi les prairies, on distingue la prairie de fauche et le pâturage. Pour une parcelle de prairie qui est fauchée et pâturée, seule l’utilisation principale est prise en considération. Une parcelle d’exploitation doit avoir une surface d’au moins 10 ares. Les ruisseaux, les chemins, les fossés ou les SPB peuvent diviser une parcelle en plusieurs parcelles exploitées malgré une utilisation identique. Dans la culture maraîchère, seules les cultures de plein champ peuvent être prises en compte, les tunnels en plastique et les serres ne sont pas considérées comme étant des parcelles exploitées. La taille moyenne des parcelles exploitées est automatiquement calculée à partir du nombre de parcelles d’exploitation et de la SAU. Des points sont attribués sur la base de cette valeur.</t>
        </r>
      </text>
    </comment>
    <comment ref="B45" authorId="0" shapeId="0" xr:uid="{6C62F28A-CCA9-450F-9FFC-A62CE8A434CB}">
      <text>
        <r>
          <rPr>
            <sz val="9"/>
            <color indexed="81"/>
            <rFont val="Segoe UI"/>
            <family val="2"/>
          </rPr>
          <t>Les modes d’exploitation sont les suivants : cultures arables, prairies de fauche, pâturages, surface à litière, arboriculture (basse-tige et haute-tige), cultures maraîchères, viticulture et autres cultures spéciales (tels que baies, tabac, fleurs coupées). Ne sont indiqués que les modes  d’exploitation qui représentent au moins 8 % de la SAU (cette valeur est indiquée automatiquement). En cas d’utilisations combinées telles que la fauche et la pâture sur la même parcelle, seule l’utilisation principale peut être prise en compte comme mode d’exploitation.
Pour le mode d’exploitation «arboriculture», une exploitation doit compter au moins 80 arbres haute-tige par 10 ha de SAU ou la surface de l’installation doit représenter au moins 8 % de la SAU.</t>
        </r>
      </text>
    </comment>
    <comment ref="G55" authorId="0" shapeId="0" xr:uid="{F14A9FF1-172D-4BD5-A189-B39BF6EE4357}">
      <text>
        <r>
          <rPr>
            <sz val="9"/>
            <color indexed="81"/>
            <rFont val="Segoe UI"/>
            <family val="2"/>
          </rPr>
          <t>Dans cette colonne sont saisies toutes les SPB, qui sont annoncées par l’exploitation selon le relevé des données structurelles. Il n’est pas fait de distinction entre les SPB Q I et Q II.</t>
        </r>
      </text>
    </comment>
    <comment ref="I55" authorId="0" shapeId="0" xr:uid="{8772E97D-5BD1-442D-B8E6-87B3436A9460}">
      <text>
        <r>
          <rPr>
            <sz val="9"/>
            <color indexed="81"/>
            <rFont val="Segoe UI"/>
            <family val="2"/>
          </rPr>
          <t xml:space="preserve">Dans cette colonne doivent être inscrites les SPB qui remplissent le niveau de qualité II ou pour lesquelles il existe un contrat de </t>
        </r>
        <r>
          <rPr>
            <b/>
            <sz val="9"/>
            <color indexed="81"/>
            <rFont val="Segoe UI"/>
            <family val="2"/>
          </rPr>
          <t>protection de la nature avec le canton ou la commune</t>
        </r>
        <r>
          <rPr>
            <sz val="9"/>
            <color indexed="81"/>
            <rFont val="Segoe UI"/>
            <family val="2"/>
          </rPr>
          <t>.
Une SPB peut remplir soit la qualité de projet, soit le niveau de qualité I ou II - mais jamais les deux.</t>
        </r>
      </text>
    </comment>
    <comment ref="K58" authorId="0" shapeId="0" xr:uid="{D8F89464-92A2-4030-ADCF-DF6FD940653B}">
      <text>
        <r>
          <rPr>
            <sz val="9"/>
            <color indexed="81"/>
            <rFont val="Segoe UI"/>
            <family val="2"/>
          </rPr>
          <t xml:space="preserve">Part minimale de petites structures : 10 %
Sont considérées comme petites structures dans les prairies extensives (611) :
Surfaces de vieille herbe : surface minimale 10 %. Après le 31 août, la surface de vieilles herbes reste au même endroit jusqu’à la prochaine période de végétation et ne doit pas non plus être pâturée en automne.
Tas de branches, tas de bois, souches d’arbres avec souches d’arbres avec racines, tas de litière, double clôture, tas de pierres, lentilles de pierres, blocs de roche, murs en pierre naturelle, surfaces en graviers, surfaces rudérales, terres ouvertes, étangs, zones humides et mouillées temporaires, mares, fossés, petits cours d’eau, buissons isolés, groupements de buissons, champs de ronces, arbres biotopes, bosquets de saules têtards, arbres morts. Pour les dimensions minimales par petite structure, voir Chap. 5.0.3
Avantages écologiques
Les prairies extensives offrent un habitat à d’innombrables espèces animales et végétales grâce à l’absence d’engrais et à la date tardive de fauche.
Après le 31 août, la surface de vieille herbe reste au même endroit jusqu'à la prochaine période de végétation et ne doit pas non plus être pâturée.  
</t>
        </r>
      </text>
    </comment>
    <comment ref="K59" authorId="0" shapeId="0" xr:uid="{D84F291D-AEC1-4CB3-96C2-2CF4373BC9EA}">
      <text>
        <r>
          <rPr>
            <b/>
            <sz val="9"/>
            <color indexed="81"/>
            <rFont val="Segoe UI"/>
            <family val="2"/>
          </rPr>
          <t xml:space="preserve">Part minimale de petites structures : 10 %
</t>
        </r>
        <r>
          <rPr>
            <sz val="9"/>
            <color indexed="81"/>
            <rFont val="Segoe UI"/>
            <family val="2"/>
          </rPr>
          <t xml:space="preserve">Sont considérées comme petites structures dans les prairies extensives (611) :
Surfaces de vieille herbe : surface minimale 10 %. Après le 31 août, la surface de vieilles herbes reste au même endroit jusqu’à la prochaine période de végétation et ne doit pas non plus être pâturée en automne.
Tas de branches, tas de bois, souches d’arbres avec souches d’arbres avec racines, tas de litière, double clôture, tas de pierres, lentilles de pierres, blocs de roche, murs en pierre naturelle, surfaces en graviers, surfaces rudérales, terres ouvertes, étangs, zones humides et mouillées temporaires, mares, fossés, petits cours d’eau, buissons isolés, groupements de buissons, champs de ronces, arbres biotopes, bosquets de saules têtards, arbres morts. Pour les dimensions minimales par petite structure, voir Chap. 5.0.3
Avantages écologiques
Les prairies extensives offrent un habitat à d’innombrables espèces animales et végétales grâce à l’absence d’engrais et à la date tardive de fauche.
Après le 31 août, la surface de vieille herbe reste au même endroit jusqu'à la prochaine période de végétation et ne doit pas non plus être pâturée. 
</t>
        </r>
      </text>
    </comment>
    <comment ref="K60" authorId="0" shapeId="0" xr:uid="{20E8554A-DEFB-47DB-97C3-7D5098B18FE5}">
      <text>
        <r>
          <rPr>
            <sz val="9"/>
            <color indexed="81"/>
            <rFont val="Segoe UI"/>
            <family val="2"/>
          </rPr>
          <t xml:space="preserve">Part minimale de petites structures : 5 %
Sont considérées comme petites structures dans les pâturages extensifs (617) et pâturages boisés (618, 625) :
Surfaces de vieille herbe : surface minimale 10 %. Après le 31 août, la surface de vieilles herbes reste au même endroit jusqu’à la prochaine période de végétation et ne doit pas non plus être pâturée en automne
Tas de branches, tas de bois, souches d’arbres avec racines, tas de litière, double clôture, tas de pierres, lentilles de pierres, blocs de roche, murs en pierre naturelle, surfaces en graviers, surfaces rudérales, terres ouvertes, étangs, zones humides et mouillées temporaires, mares, fossés, petits cours d’eau, buissons isolés, groupements de buissons, champs de ronces, arbres biotopes, bosquets de saules têtards, arbres morts. Pour les dimensions minimales par petite structure, voir Chap. 5.0.4
Après le 31 août, la surface de vieille herbe reste au même endroit jusqu'à la prochaine période de végétation et ne doit pas non plus être pâturée. 
</t>
        </r>
      </text>
    </comment>
    <comment ref="I61" authorId="0" shapeId="0" xr:uid="{B8D9A760-BD2A-4FCA-B823-79D3C844E799}">
      <text>
        <r>
          <rPr>
            <sz val="9"/>
            <color indexed="81"/>
            <rFont val="Segoe UI"/>
            <family val="2"/>
          </rPr>
          <t>les surfaces de promotion de la biodiversité sur les terres arables (jachères, lisières, bandes culturales extensives) sont en principe de grande qualité et sont automatiquement reprises.</t>
        </r>
      </text>
    </comment>
    <comment ref="I62" authorId="0" shapeId="0" xr:uid="{2769CCE8-41B6-470A-B18C-65D427FBEE05}">
      <text>
        <r>
          <rPr>
            <sz val="9"/>
            <color indexed="81"/>
            <rFont val="Segoe UI"/>
            <family val="2"/>
          </rPr>
          <t xml:space="preserve">les surfaces de promotion de la biodiversité sur les terres arables (jachères, lisières, bandes culturales extensives) sont en principe de grande qualité et sont automatiquement reprises.
</t>
        </r>
      </text>
    </comment>
    <comment ref="I63" authorId="0" shapeId="0" xr:uid="{B7D4EEC6-5E88-40BA-8F59-30BD7718F1E1}">
      <text>
        <r>
          <rPr>
            <sz val="9"/>
            <color indexed="81"/>
            <rFont val="Segoe UI"/>
            <family val="2"/>
          </rPr>
          <t>les surfaces de promotion de la biodiversité sur les terres arables (jachères, lisières, bandes culturales extensives) sont en principe de grande qualité et sont automatiquement reprises.</t>
        </r>
      </text>
    </comment>
    <comment ref="I64" authorId="0" shapeId="0" xr:uid="{7D6D1AC3-50BC-47E0-9C35-829B27BCF43A}">
      <text>
        <r>
          <rPr>
            <sz val="9"/>
            <color indexed="81"/>
            <rFont val="Segoe UI"/>
            <family val="2"/>
          </rPr>
          <t>les surfaces de promotion de la biodiversité sur les terres arables (jachères, lisières, bandes culturales extensives) sont en principe de grande qualité et sont automatiquement reprises.</t>
        </r>
      </text>
    </comment>
    <comment ref="I66" authorId="0" shapeId="0" xr:uid="{D13658E1-0839-4B01-9147-FB0895514346}">
      <text>
        <r>
          <rPr>
            <sz val="9"/>
            <color indexed="81"/>
            <rFont val="Segoe UI"/>
            <family val="2"/>
          </rPr>
          <t>Les bandes pluriannuelles semées pour organismes utiles sur terres assolées à partir de la deuxième année d’existence  peuvent être saisies sous qualité et présentent en même temps diversité des structures 
Comme les bandes annuelles semées pour organismes utiles sur terres assolées (572) ne restent en place que 100 jours, il n’est pas possible de saisir une diversité des structures. En particulier, elles ne constituent pas de structure durant les mois d’hiver.
Les bandes pluriannuelles semées pour organismes utiles sur terres assolées (572) peuvent être saisies sous diversité des structures à partir de la deuxième année d’existence.</t>
        </r>
      </text>
    </comment>
    <comment ref="G67" authorId="0" shapeId="0" xr:uid="{6FF85FEE-8139-431B-8855-E0DD123D6CE8}">
      <text>
        <r>
          <rPr>
            <sz val="9"/>
            <color indexed="81"/>
            <rFont val="Segoe UI"/>
            <family val="2"/>
          </rPr>
          <t>Ici on saisit la surface de l’ensemble de la culture permanente avec bandes semées pour organismes utiles. Le système en prend ensuite automatiquement 5 % en tant que SPB.</t>
        </r>
      </text>
    </comment>
    <comment ref="K68" authorId="0" shapeId="0" xr:uid="{E92EAE83-5F5E-47CE-9738-9431101242A0}">
      <text>
        <r>
          <rPr>
            <sz val="9"/>
            <color indexed="81"/>
            <rFont val="Segoe UI"/>
            <family val="2"/>
          </rPr>
          <t>Part minimale de petites structures : une petite structure doit être présente par 7 ares. Exemple : 40 ares de haies, de bosquets champêtres et de berges boisées (avec bande herbeuse) (852) exigent 6 petites structures.
Sont considérés comme petites structures dans les haies, bosquets champêtres et les berges boisées (852) :
Tas de pierres, blocs de roche, tas de branches et de bois, fossés conducteurs d‘eau.
Surface minimale par petite structure, voir Chap. 5.0.4</t>
        </r>
      </text>
    </comment>
    <comment ref="I69" authorId="0" shapeId="0" xr:uid="{C3E8906D-DE50-4312-B1D3-9A1130083C19}">
      <text>
        <r>
          <rPr>
            <b/>
            <sz val="9"/>
            <color indexed="81"/>
            <rFont val="Segoe UI"/>
            <family val="2"/>
          </rPr>
          <t>Simon Birrer:</t>
        </r>
        <r>
          <rPr>
            <sz val="9"/>
            <color indexed="81"/>
            <rFont val="Segoe UI"/>
            <family val="2"/>
          </rPr>
          <t xml:space="preserve">
Streueflächen werden immer als hochwertig taxiert. Deshalb verzichten wir auf eine Eingabe der Streue QII</t>
        </r>
      </text>
    </comment>
    <comment ref="K69" authorId="0" shapeId="0" xr:uid="{3F0A9453-F0C2-4CF3-A9A6-6152E70E8013}">
      <text>
        <r>
          <rPr>
            <sz val="9"/>
            <color indexed="81"/>
            <rFont val="Segoe UI"/>
            <family val="2"/>
          </rPr>
          <t>Part minimale de petites structures : 10 %
Sont considérées comme petites structures dans les surfaces à litière (851) :
Surfaces de vieille herbe : surface minimale 10 %. Après le 31 août, la surface de vieilles herbes reste au même endroit jusqu’à la prochaine période de végétation et ne doit pas non plus être pâturée en automne.
Tas de branches, tas de bois, souches d’arbres avec racines, tas de litière, double clôture, tas de pierres, blocs de roche, murs en pierre naturelle, surfaces en graviers, surfaces rudérales, terres ouvertes, étangs, zones humides et mouillées temporaires, mares, fossés, petits cours d’eau, buissons isolés, groupements de buissons, champs de ronces, arbres biotopes, bosquets de saules têtards, arbres morts. Pour les dimensions minimales par petite structure, voir Chap. 5.0.4</t>
        </r>
      </text>
    </comment>
    <comment ref="K70" authorId="0" shapeId="0" xr:uid="{59D19A8B-12CD-484A-A6A2-193D9445BB35}">
      <text>
        <r>
          <rPr>
            <sz val="9"/>
            <color indexed="81"/>
            <rFont val="Segoe UI"/>
            <family val="2"/>
          </rPr>
          <t>Part minimale de petites structures : 10 %
Sont considérés comme petites structures dans les prairies riveraines (851) :
Tas de branches, tas de bois, souches d’arbres avec racines, tas de litière, double clôture, tas de pierres, blocs de roche, murs en pierre naturelle, surfaces en graviers, surfaces rudérales, terres ouvertes, étangs, zones humides et mouillées temporaires, mares, fossés, petits cours d’eau, buissons isolés, groupements de buissons, champs de ronces, arbres biotopes, bosquets de saules têtards, arbres morts. Pour les dimensions minimales par petite structure, voir Chap. 5.0.4</t>
        </r>
      </text>
    </comment>
    <comment ref="K71" authorId="0" shapeId="0" xr:uid="{DA09EF11-C889-4054-BBD5-B61A67A34444}">
      <text>
        <r>
          <rPr>
            <sz val="9"/>
            <color indexed="81"/>
            <rFont val="Segoe UI"/>
            <family val="2"/>
          </rPr>
          <t xml:space="preserve">Part minimale de petites structures : 10 %
Sont considérées comme petites structures dans les surfaces viticoles présentant une biodiversité naturelle (717) :
Surfaces de vieille herbe : surface minimale 10 %. Après le 31 août, la surface de vieilles herbes reste au même endroit jusqu’à la prochaine période de végétation et ne doit pas non plus être pâturée en automne
Tas de branches, tas de bois, souches d’arbres avec racines, tas de litière, double clôture, tas de pierres, blocs de roche, murs en pierre naturelle, surfaces en graviers, surfaces rudérales, terres ouvertes, étangs, zones humides et mouillées temporaires, mares, fossés, petits cours d’eau, buissons isolés, groupements de buissons, champs de ronces, arbres biotopes, bosquets de saules têtards, arbres morts.
Pour les dimensions minimales par petite structure, voir Chap. 5.0.4 </t>
        </r>
      </text>
    </comment>
    <comment ref="B77" authorId="0" shapeId="0" xr:uid="{99BB2CE4-1DCB-48EE-BA43-9EAEEB2C8724}">
      <text>
        <r>
          <rPr>
            <sz val="9"/>
            <color indexed="81"/>
            <rFont val="Segoe UI"/>
            <family val="2"/>
          </rPr>
          <t>au moins 9 % de la SAU doivent être désignés comme SPB sans arbres</t>
        </r>
      </text>
    </comment>
    <comment ref="B83" authorId="0" shapeId="0" xr:uid="{04E3B336-A4C9-48E8-9A7E-4493A8CBAE41}">
      <text>
        <r>
          <rPr>
            <sz val="9"/>
            <color indexed="81"/>
            <rFont val="Segoe UI"/>
            <family val="2"/>
          </rPr>
          <t>5 % für Spezialkulturen
9 % für übrige</t>
        </r>
      </text>
    </comment>
    <comment ref="B84" authorId="0" shapeId="0" xr:uid="{6ACC82D4-376A-4FAD-80D9-AA7491B5DCD9}">
      <text>
        <r>
          <rPr>
            <sz val="9"/>
            <color indexed="81"/>
            <rFont val="Segoe UI"/>
            <family val="2"/>
          </rPr>
          <t>Les SPB doivent représenter au moins 9 % de la SAU, mais seulement 5 % sont nécessaires pour les cultures spécialisées.</t>
        </r>
      </text>
    </comment>
    <comment ref="B88" authorId="0" shapeId="0" xr:uid="{CFFAE413-6CF4-4BD3-9D15-5B94D8EC174C}">
      <text>
        <r>
          <rPr>
            <sz val="9"/>
            <color indexed="81"/>
            <rFont val="Segoe UI"/>
            <family val="2"/>
          </rPr>
          <t>wird berechnet aus: 
Summe von Buntbrachen (556), Rotationsbrachen (557), Säume auf Ackerland (559), Ackerschonstreifen (555) und Nützlingsstreifen (572) plus 5.13.1 Getreide in weiter Reihe (Das System rechnet aber max. 1,75 % der AF an und nur falls mind. 3 ha oAF vorhanden sind.)</t>
        </r>
      </text>
    </comment>
    <comment ref="B91" authorId="0" shapeId="0" xr:uid="{7824D347-7EED-42FE-A818-7D7F981036CC}">
      <text>
        <r>
          <rPr>
            <sz val="9"/>
            <color indexed="81"/>
            <rFont val="Segoe UI"/>
            <family val="2"/>
          </rPr>
          <t>• Une part substantielle de surfaces de promotion de la biodiversité de haute qualité sur les terres assolées est nécessaire pour préserver les espèces typiques des terres assolées (flore accompagnant les cultures, insectes utiles, oiseaux nichant au sol, lièvres). Seules les cul-tures pluriannuelles sans utilisation de produits phytosanitaires ou d’engrais sur toute la sur-face, correspondent à des surfaces de biodiversité de haute qualité IPS. Il s’agit notamment des jachères florales (556), des jachères tournantes (557), des ourlets sur les terres assolées (559), des bandes culturales extensives (555) et des bandes pluriannuelles semées pour or-ganismes utiles dans les terres ouverte (572). Ces bandes ayant deux ans ou plus d'exis-tence sont à privilégier, car elles présentent des structures précieuses pendant les mois d'hiver.</t>
        </r>
      </text>
    </comment>
    <comment ref="C105" authorId="0" shapeId="0" xr:uid="{E994CEA8-132F-4893-9652-8FC907EF3830}">
      <text>
        <r>
          <rPr>
            <sz val="9"/>
            <color indexed="81"/>
            <rFont val="Segoe UI"/>
            <family val="2"/>
          </rPr>
          <t xml:space="preserve">Sont considérées comme des SPB de grande surface toutes les SPB de valeur qualitative (Q II, LPN ainsi que qualité de projet) d’au moins 25 ares. Cette surface correspond à une unité (nombre = 1). 
Les surfaces plus grandes peuvent se composer de plusieurs unités de 25 ares : une SPB de qualité de 53 ares correspond à 2 unités, une SPB de qualité de 140 ares correspond à 5 unités, etc.
Sous le ch. 7.1 sont saisis les SPB de grande taille sur terres assolées. Il s’agit de jachère florale (556), jachère tournante (557), ourlets sur terres assolées, (559), bande culturale extensive (555) et bandes pluriannuelles semées pour organismes utiles (572). Elles présentent par définition une qualité de projet - elles peuvent donc être déclarées dès que la surface est supérieure à 25 ares.   </t>
        </r>
      </text>
    </comment>
    <comment ref="C109" authorId="0" shapeId="0" xr:uid="{D8E146EB-61DB-41F3-841F-2BE3206B67E7}">
      <text>
        <r>
          <rPr>
            <sz val="9"/>
            <color indexed="81"/>
            <rFont val="Segoe UI"/>
            <family val="2"/>
          </rPr>
          <t>Mise en œuvre sur l‘exploitation
Sont considérées comme des SPB de grande surface toutes les SPB de valeur qualitative (Q II, LPN ainsi que qualité de projet) d’au moins 25 ares. Cette surface correspond à une unité (nombre = 1). 
Les surfaces plus grandes peuvent se composer de plusieurs unités de 25 ares : une SPB de qualité de 53 ares correspond à 2 unités, une SPB de qualité de 140 ares correspond à 5 unités, etc.
Sous le ch. 7.2 sont saisis les SPB de grande taille sur prairies permanentes. Il s’agit de prairies extensives (611), prairies peu intensives (612), pâturages extensifs (617), pâturages boisés (618), haies, bosquets champêtres et berges boisées avec la bande herbeuse (852) et surfaces à litière (851). Les surfaces ne peuvent être prises en compte que si elles présentent une qualité de projet, un niveau de qualité II ou une LPN.</t>
        </r>
      </text>
    </comment>
    <comment ref="C134" authorId="0" shapeId="0" xr:uid="{F0A11DD7-EB44-4BD3-8F9D-90F68EC364C7}">
      <text>
        <r>
          <rPr>
            <sz val="9"/>
            <color indexed="81"/>
            <rFont val="Segoe UI"/>
            <family val="2"/>
          </rPr>
          <t>Les petites surfaces peuvent être implantées dans les céréales, le colza, le tournesol et le maïs. Il est important de les installer correctement, loin des voies de traitement ! Si elles sont placées sur ou le long des voies de traitement, elles sont souvent fouillées par les prédateurs de nids et les nids sont pillés.
Exigences
La surface totale de la culture principale (p. ex. blé) est déclarée.
Au moins 3 petites surfaces de 3 × 9 m par hectare ou une bande de 3 × 25 m (ou 2 × 40 m).
Veillez à une implantation correcte : pas en bordure de champs ou voies de traitement et réparties uniformément.
Le désherbage mécanique (herse étrille) n’est pas autorisé sur les petites surfaces. Contexte : les petites surfaces créent un couvert supplémentaire pour les oiseaux nichant au sol.
Pas d’utilisation d’herbicide dès le semis de la culture principale (p. ex. blé).
Les rumex, chardons des champs, et liserons peuvent être combattus manuellement ou chimiquement avec un pulvérisateur à dos.
En option : ensemencement de petites surfaces avec un mélange d’herbes sauvages indigènes (en novembre pour les cultures d’hiver ou en février/mars pour les cultures d’été).
Pour plus de détails, voir : Patch alouette</t>
        </r>
      </text>
    </comment>
    <comment ref="C136" authorId="0" shapeId="0" xr:uid="{C1CA5D5E-12DF-4BAB-9A50-631B233BE039}">
      <text>
        <r>
          <rPr>
            <sz val="9"/>
            <color indexed="81"/>
            <rFont val="Segoe UI"/>
            <family val="2"/>
          </rPr>
          <t xml:space="preserve">Ici, il est possible de déclarer des «Céréales en lignes de semis espacées». Dans certains projets cantonaux de mise en réseau, cette surface peut être déclarée comme « surface de promotion de la biodiversité spécifique à la région Typ 16». </t>
        </r>
      </text>
    </comment>
    <comment ref="C142" authorId="0" shapeId="0" xr:uid="{E6C3820C-790E-47A2-835D-84B79499C193}">
      <text>
        <r>
          <rPr>
            <sz val="9"/>
            <color indexed="81"/>
            <rFont val="Segoe UI"/>
            <family val="2"/>
          </rPr>
          <t>En cas de sous-semis dans le maïs, un mélange de graminées/trèfle est semé entre les rangs. L’utilisation d’herbicides sur toute la surface n’est pas autorisée.</t>
        </r>
      </text>
    </comment>
    <comment ref="C148" authorId="0" shapeId="0" xr:uid="{A37FFC77-FDC2-4AA6-AEDF-6C16B660F4CE}">
      <text>
        <r>
          <rPr>
            <sz val="9"/>
            <color indexed="81"/>
            <rFont val="Segoe UI"/>
            <family val="2"/>
          </rPr>
          <t>Sont prises en compte toutes les cultures arables, cultivées sans régulateurs de croissance/phytorégulateurs, fongicides, stimulateurs des défenses naturelles et insecticides (exigences OPD).
Les cultures suivantes peuvent être déclarées : colza, blé panifiable, blé dur, blé fourrager, seigle, épeautre, avoine, orge, triticale, amidonnier, engrain et des mélanges de semences de ces derniers céréales, lin, betteraves sucrières, tournesol, légumes de conservation de plein champ, pois, féverole et lupin. Les pommes de terre ne peuvent être annoncées.
Les cultures sont inscrites au programme «Renoncement aux produits phytosanitaires» (anciennement Extenso) de la Confédération. La culture biologique est également possible.</t>
        </r>
      </text>
    </comment>
    <comment ref="C150" authorId="0" shapeId="0" xr:uid="{06EA9364-C96B-4A96-8CDC-5F4DB6D9249E}">
      <text>
        <r>
          <rPr>
            <sz val="9"/>
            <color indexed="81"/>
            <rFont val="Segoe UI"/>
            <family val="2"/>
          </rPr>
          <t>Toutes les cultures de pommes de terre cultivées sans insecticides sont prises en compte. Seuls les produits à base du Bacillus thuringiensis naturel contre le doryphore de la pomme de terre sont autorisés (conformément aux contributions pour les systèmes de production en grandes cultures de la Confédération). La culture biologique est également possible</t>
        </r>
      </text>
    </comment>
    <comment ref="C169" authorId="0" shapeId="0" xr:uid="{BF1CEFBA-6D99-4E28-BC70-F3C6E5DCF1EF}">
      <text>
        <r>
          <rPr>
            <sz val="9"/>
            <color indexed="81"/>
            <rFont val="Segoe UI"/>
            <family val="2"/>
          </rPr>
          <t>Une exploitation échelonnée des prairies avec une date de fauche antérieure à la date de fauche OPD,
n’est possible que sur les surfaces pour lesquelles une telle mesure est fixée dans un projet de mise en
réseau ou dans un contrat de protection de la nature. La dérogation à la date de fauche doit faire l’objet
d’un accord par écrit.
Directives IP-SUISSE – Biodiversité 1.1.2025 32
Surfaces de vieille herbe
• Surface minimale : 10 %
• Après le 31 août, la surface de vieilles herbes reste au même endroit jusqu’à la prochaine période de
végétation et ne doit pas non plus être pâturée en automne.</t>
        </r>
      </text>
    </comment>
    <comment ref="C180" authorId="0" shapeId="0" xr:uid="{6C264BAD-E705-47F9-B0A4-8D4ECBEAC7B8}">
      <text>
        <r>
          <rPr>
            <sz val="9"/>
            <color indexed="81"/>
            <rFont val="Segoe UI"/>
            <family val="2"/>
          </rPr>
          <t>Sont prises en compte les prairies intensives fauchées à chaque coupe au moyen de barres de coupe (Busatis, motofaucheuses, faux, etc.). (Utilisation de faucheuses à barre de coupe sur les SPB, voir 11.1).</t>
        </r>
      </text>
    </comment>
    <comment ref="B197" authorId="0" shapeId="0" xr:uid="{AFF7A6A1-9C34-4CD3-8A4C-37E73623524D}">
      <text>
        <r>
          <rPr>
            <sz val="9"/>
            <color indexed="81"/>
            <rFont val="Segoe UI"/>
            <family val="2"/>
          </rPr>
          <t xml:space="preserve">Une lisière de forêt valorisée est une lisière de forêt qui est valorisée en collaboration avec le forestier. Le forestier doit délivrer une attestation pour les mètres courants correspondants. Cette mesure est la seule qui ne peut pas être mise en œuvre sur la SAU de l’exploitation. La personne qui souhaite faire valoir des points doit prouver qu’elle gère la lisière de forêt (en propriété ou dans le cadre d’un rapport d’exploitation). Vous trouvez un modèle d’attestation sous:  Confirmation lisière de forêt étagée
Les interventions d’entretien suivantes (tous les 4 à 6 ans) sont obligatoires pour maintenir la lisière étagée, et sont enregistrées dans le système de points. Si aucune intervention d’entretien n’est effectuée dans les sept ans, le nombre de points est effacé.
Les données ne peuvent être inscrites que pour l'année en cours !
</t>
        </r>
      </text>
    </comment>
    <comment ref="G198" authorId="0" shapeId="0" xr:uid="{F0EC5150-C88A-420D-ADCF-D16D4D281EF5}">
      <text>
        <r>
          <rPr>
            <sz val="9"/>
            <color indexed="81"/>
            <rFont val="Segoe UI"/>
            <family val="2"/>
          </rPr>
          <t>Longueur revalorisée</t>
        </r>
      </text>
    </comment>
    <comment ref="K198" authorId="0" shapeId="0" xr:uid="{92460B14-16E1-4A77-BBEA-1DA6C14F533B}">
      <text>
        <r>
          <rPr>
            <sz val="9"/>
            <color indexed="81"/>
            <rFont val="Segoe UI"/>
            <family val="2"/>
          </rPr>
          <t>Longueur revalorisée</t>
        </r>
      </text>
    </comment>
    <comment ref="C205" authorId="0" shapeId="0" xr:uid="{3D51B07D-1AE0-469F-B125-99971C65CFFE}">
      <text>
        <r>
          <rPr>
            <sz val="9"/>
            <color indexed="81"/>
            <rFont val="Segoe UI"/>
            <family val="2"/>
          </rPr>
          <t>Aucun bord des champs dans les grandes cultures ne doit être broyé (mulché), ceci durant toute l’année. En raison de la vitesse de rotation très élevée des outils et de la proximité au sol, les petits animaux et les insectes n’ont aucune chance d’échapper vivants au broyeur. Comme l’herbe fauchée reste sur les surfaces, il y a un enrichissement en substances nutritives et une augmentation des plantes aimant l’azote – généralement des graminées.</t>
        </r>
      </text>
    </comment>
    <comment ref="C208" authorId="0" shapeId="0" xr:uid="{E11256CD-3C7E-4B16-9911-FC38F25AD884}">
      <text>
        <r>
          <rPr>
            <sz val="9"/>
            <color indexed="81"/>
            <rFont val="Segoe UI"/>
            <family val="2"/>
          </rPr>
          <t>Les exploitations qui élèvent des races animales typiques de la région et menacées de disparition, contribuent à la préservation de la diversité génétique. Le nombre d’animaux du herd-book des races animales concernées, doit être indiqué.
Vous trouvez ici quelles races animales sont considérées comme menacées :
Animaux races traditionnelles - ProSpecieRara
En plus de cette liste, les anciennes races bovines suisses (p. ex. la race Brune originale, la race d'Hérens, race pur Simmental (code 60) peuvent être indiquées !</t>
        </r>
      </text>
    </comment>
    <comment ref="C210" authorId="0" shapeId="0" xr:uid="{177E5FD8-720E-4342-B43A-F7AF405E81F7}">
      <text>
        <r>
          <rPr>
            <sz val="9"/>
            <color indexed="81"/>
            <rFont val="Segoe UI"/>
            <family val="2"/>
          </rPr>
          <t>En cultivant des plantes utiles typiques de la région et menacées de disparition, les exploitations contribuent à la conservation de la diversité génétique. Il faut indiquer le nombre d’arbres haute-tige, respectivement la surface en ares. Les exploitants doivent présenter une liste correspondante avec indication des variétés de fruits ou des variétés de plantes.
Vous trouvez les listes des variétés admises sous :
Anciennes variétés fruits
Plantes de plein champs - ProSpecieRara
Pommes de terre - ProSpecieRara</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Simon Birrer</author>
  </authors>
  <commentList>
    <comment ref="W1" authorId="0" shapeId="0" xr:uid="{00000000-0006-0000-0500-000001000000}">
      <text>
        <r>
          <rPr>
            <b/>
            <sz val="12"/>
            <color indexed="81"/>
            <rFont val="Tahoma"/>
            <family val="2"/>
          </rPr>
          <t>zur Zeit nicht aktiv: 
falls 1 
 missachtet</t>
        </r>
      </text>
    </comment>
    <comment ref="C15" authorId="0" shapeId="0" xr:uid="{86ED0609-1DBF-4EE1-B49A-485EAE316C45}">
      <text>
        <r>
          <rPr>
            <sz val="9"/>
            <color indexed="81"/>
            <rFont val="Segoe UI"/>
            <family val="2"/>
          </rPr>
          <t>Les terres ouvertes comprennent toutes les terres assolées. Les SPB telles que les ourlets (559), les bandes culturales extensives, les jachères florales (556) et tournantes (557), ainsi que lesbandes semées pour organismes utiles dans les terres ouvertes (572) font aussi partie des terres ouvertes.</t>
        </r>
      </text>
    </comment>
    <comment ref="C16" authorId="0" shapeId="0" xr:uid="{702034A0-7DB7-4AA0-A280-6FFC4747FA9D}">
      <text>
        <r>
          <rPr>
            <sz val="9"/>
            <color indexed="81"/>
            <rFont val="Segoe UI"/>
            <family val="2"/>
          </rPr>
          <t>Font partie des prairies temporaires, toutes les prairies des terres assolées de 6 ans au maximum.</t>
        </r>
      </text>
    </comment>
    <comment ref="D17" authorId="0" shapeId="0" xr:uid="{D7856714-CAD8-4B1A-A106-A1883102C13E}">
      <text>
        <r>
          <rPr>
            <sz val="9"/>
            <color indexed="81"/>
            <rFont val="Segoe UI"/>
            <family val="2"/>
          </rPr>
          <t>Cette valeur est calculée automatiquement. Elle comprend les terres ouvertes et les prairies artificielles (601).</t>
        </r>
      </text>
    </comment>
    <comment ref="C18" authorId="0" shapeId="0" xr:uid="{CD6BD137-E394-41B4-964F-36338506C071}">
      <text>
        <r>
          <rPr>
            <sz val="9"/>
            <color indexed="81"/>
            <rFont val="Segoe UI"/>
            <family val="2"/>
          </rPr>
          <t>Sont indiquées toutes les surfaces qui n'ont pas pu être indiquées aux chiffres "1.1.1 Prairies permanentes" à "1.1.4 Terres assolée", comme par exemple les surfaces à litière (851), les cultures permanentes telles que les baies pluriannuelles (705), les vergers (702, 703, 704), les cultures d'arbres de Noël (712), etc. La somme de "1.1.1 Prairies permanentes" à "1.1.5 Litière, cultures permanentes, autres surfaces" doit correspondre à la SAU (ch. "1.1 SAU").</t>
        </r>
      </text>
    </comment>
    <comment ref="C22" authorId="0" shapeId="0" xr:uid="{CAF64423-C3D9-497C-A4BE-02F736324B1B}">
      <text>
        <r>
          <rPr>
            <sz val="9"/>
            <color indexed="81"/>
            <rFont val="Segoe UI"/>
            <family val="2"/>
          </rPr>
          <t xml:space="preserve">Toutes les cultures spéciales selon l'OFAG peuvent être indiquées ici. La surface de toutes les cultures spéciales est visible dans la fiche de données structurelles cantonale. </t>
        </r>
      </text>
    </comment>
    <comment ref="C26" authorId="0" shapeId="0" xr:uid="{FF7D12B8-8738-4813-A76E-EAD0BA79C4CF}">
      <text>
        <r>
          <rPr>
            <sz val="9"/>
            <color indexed="81"/>
            <rFont val="Segoe UI"/>
            <family val="2"/>
          </rPr>
          <t>Si la SAU de l’exploitation s’étend sur plusieurs zones, les surfaces doivent être inscrites dans les zones correspondantes (1.2.1 et 1.2.2). La somme de 1.2 à 1.2.2 doit correspondre à la SAU (pt 1.1).</t>
        </r>
      </text>
    </comment>
    <comment ref="B36" authorId="0" shapeId="0" xr:uid="{41A0A4BB-9EB4-471D-9383-01A5694C285D}">
      <text>
        <r>
          <rPr>
            <b/>
            <sz val="10"/>
            <color indexed="81"/>
            <rFont val="Tahoma"/>
            <family val="2"/>
          </rPr>
          <t>in Grundeinstellung auf 9999 stellen</t>
        </r>
      </text>
    </comment>
    <comment ref="C40" authorId="0" shapeId="0" xr:uid="{52743786-3400-4D92-ADFE-5B898A0E572A}">
      <text>
        <r>
          <rPr>
            <sz val="9"/>
            <color indexed="81"/>
            <rFont val="Segoe UI"/>
            <family val="2"/>
          </rPr>
          <t>Une parcelle exploitée est une surface cultivée du même type de culture (par ex. blé, prairie intensive, orge, pâturage intensif, maïs, etc.). Les SPB ne sont pas considérées en tant que parcelles exploitées. Si la même culture est cultivée sur deux parcelles cadastrales attenantes, elles sont considérées comme une seule parcelle d’exploitation. Inversement, une parcelle cadastrale est considérée comme deux parcelles exploitées, si elle est cultivée avec deux cultures différentes ou par des utilisations différentes de la prairie. Pour les mêmes cultures, par ex. le blé, on distingue le blé d’automne et le blé de printemps. Parmi les prairies, on distingue la prairie de fauche et le pâturage. Pour une parcelle de prairie qui est fauchée et pâturée, seule l’utilisation principale est prise en considération. Une parcelle d’exploitation doit avoir une surface d’au moins 10 ares. Les ruisseaux, les chemins, les fossés ou les SPB peuvent diviser une parcelle en plusieurs parcelles exploitées malgré une utilisation identique. Dans la culture maraîchère, seules les cultures de plein champ peuvent être prises en compte, les tunnels en plastique et les serres ne sont pas considérées comme étant des parcelles exploitées. La taille moyenne des parcelles exploitées est automatiquement calculée à partir du nombre de parcelles d’exploitation et de la SAU. Des points sont attribués sur la base de cette valeur.</t>
        </r>
      </text>
    </comment>
    <comment ref="B45" authorId="0" shapeId="0" xr:uid="{77EFD48D-4527-4A5D-9B30-9021687D6D31}">
      <text>
        <r>
          <rPr>
            <sz val="9"/>
            <color indexed="81"/>
            <rFont val="Segoe UI"/>
            <family val="2"/>
          </rPr>
          <t>Les modes d’exploitation sont les suivants : cultures arables, prairies de fauche, pâturages, surface à litière, arboriculture (basse-tige et haute-tige), cultures maraîchères, viticulture et autres cultures spéciales (tels que baies, tabac, fleurs coupées). Ne sont indiqués que les modes  d’exploitation qui représentent au moins 8 % de la SAU (cette valeur est indiquée automatiquement). En cas d’utilisations combinées telles que la fauche et la pâture sur la même parcelle, seule l’utilisation principale peut être prise en compte comme mode d’exploitation.
Pour le mode d’exploitation «arboriculture», une exploitation doit compter au moins 80 arbres haute-tige par 10 ha de SAU ou la surface de l’installation doit représenter au moins 8 % de la SAU.</t>
        </r>
      </text>
    </comment>
    <comment ref="G55" authorId="0" shapeId="0" xr:uid="{C4F2D3F0-111C-4EAB-B4B8-66828B2D94B5}">
      <text>
        <r>
          <rPr>
            <sz val="9"/>
            <color indexed="81"/>
            <rFont val="Segoe UI"/>
            <family val="2"/>
          </rPr>
          <t>Dans cette colonne sont saisies toutes les SPB, qui sont annoncées par l’exploitation selon le relevé des données structurelles. Il n’est pas fait de distinction entre les SPB Q I et Q II.</t>
        </r>
      </text>
    </comment>
    <comment ref="I55" authorId="0" shapeId="0" xr:uid="{44C8AEB9-3136-43FA-923E-A251DFFD4518}">
      <text>
        <r>
          <rPr>
            <sz val="9"/>
            <color indexed="81"/>
            <rFont val="Segoe UI"/>
            <family val="2"/>
          </rPr>
          <t xml:space="preserve">Dans cette colonne doivent être inscrites les SPB qui remplissent le niveau de qualité II ou pour lesquelles il existe un contrat de </t>
        </r>
        <r>
          <rPr>
            <b/>
            <sz val="9"/>
            <color indexed="81"/>
            <rFont val="Segoe UI"/>
            <family val="2"/>
          </rPr>
          <t>protection de la nature avec le canton ou la commune</t>
        </r>
        <r>
          <rPr>
            <sz val="9"/>
            <color indexed="81"/>
            <rFont val="Segoe UI"/>
            <family val="2"/>
          </rPr>
          <t>.
Une SPB peut remplir soit la qualité de projet, soit le niveau de qualité I ou II - mais jamais les deux.</t>
        </r>
      </text>
    </comment>
    <comment ref="K58" authorId="0" shapeId="0" xr:uid="{B3BF81FE-BD41-4C60-B495-779335979923}">
      <text>
        <r>
          <rPr>
            <sz val="9"/>
            <color indexed="81"/>
            <rFont val="Segoe UI"/>
            <family val="2"/>
          </rPr>
          <t xml:space="preserve">Part minimale de petites structures : 10 %
Sont considérées comme petites structures dans les prairies extensives (611) :
Surfaces de vieille herbe : surface minimale 10 %. Après le 31 août, la surface de vieilles herbes reste au même endroit jusqu’à la prochaine période de végétation et ne doit pas non plus être pâturée en automne.
Tas de branches, tas de bois, souches d’arbres avec souches d’arbres avec racines, tas de litière, double clôture, tas de pierres, lentilles de pierres, blocs de roche, murs en pierre naturelle, surfaces en graviers, surfaces rudérales, terres ouvertes, étangs, zones humides et mouillées temporaires, mares, fossés, petits cours d’eau, buissons isolés, groupements de buissons, champs de ronces, arbres biotopes, bosquets de saules têtards, arbres morts. Pour les dimensions minimales par petite structure, voir Chap. 5.0.3
Avantages écologiques
Les prairies extensives offrent un habitat à d’innombrables espèces animales et végétales grâce à l’absence d’engrais et à la date tardive de fauche.
Après le 31 août, la surface de vieille herbe reste au même endroit jusqu'à la prochaine période de végétation et ne doit pas non plus être pâturée.  
</t>
        </r>
      </text>
    </comment>
    <comment ref="K59" authorId="0" shapeId="0" xr:uid="{DBAA2694-8558-4DD2-ACB8-83A1D5E5F363}">
      <text>
        <r>
          <rPr>
            <b/>
            <sz val="9"/>
            <color indexed="81"/>
            <rFont val="Segoe UI"/>
            <family val="2"/>
          </rPr>
          <t xml:space="preserve">Part minimale de petites structures : 10 %
</t>
        </r>
        <r>
          <rPr>
            <sz val="9"/>
            <color indexed="81"/>
            <rFont val="Segoe UI"/>
            <family val="2"/>
          </rPr>
          <t xml:space="preserve">Sont considérées comme petites structures dans les prairies extensives (611) :
Surfaces de vieille herbe : surface minimale 10 %. Après le 31 août, la surface de vieilles herbes reste au même endroit jusqu’à la prochaine période de végétation et ne doit pas non plus être pâturée en automne.
Tas de branches, tas de bois, souches d’arbres avec souches d’arbres avec racines, tas de litière, double clôture, tas de pierres, lentilles de pierres, blocs de roche, murs en pierre naturelle, surfaces en graviers, surfaces rudérales, terres ouvertes, étangs, zones humides et mouillées temporaires, mares, fossés, petits cours d’eau, buissons isolés, groupements de buissons, champs de ronces, arbres biotopes, bosquets de saules têtards, arbres morts. Pour les dimensions minimales par petite structure, voir Chap. 5.0.3
Avantages écologiques
Les prairies extensives offrent un habitat à d’innombrables espèces animales et végétales grâce à l’absence d’engrais et à la date tardive de fauche.
Après le 31 août, la surface de vieille herbe reste au même endroit jusqu'à la prochaine période de végétation et ne doit pas non plus être pâturée. 
</t>
        </r>
      </text>
    </comment>
    <comment ref="K60" authorId="0" shapeId="0" xr:uid="{0980464F-1DD8-4DA1-A050-E00F0F6353EB}">
      <text>
        <r>
          <rPr>
            <sz val="9"/>
            <color indexed="81"/>
            <rFont val="Segoe UI"/>
            <family val="2"/>
          </rPr>
          <t xml:space="preserve">Part minimale de petites structures : 5 %
Sont considérées comme petites structures dans les pâturages extensifs (617) et pâturages boisés (618, 625) :
Surfaces de vieille herbe : surface minimale 10 %. Après le 31 août, la surface de vieilles herbes reste au même endroit jusqu’à la prochaine période de végétation et ne doit pas non plus être pâturée en automne
Tas de branches, tas de bois, souches d’arbres avec racines, tas de litière, double clôture, tas de pierres, lentilles de pierres, blocs de roche, murs en pierre naturelle, surfaces en graviers, surfaces rudérales, terres ouvertes, étangs, zones humides et mouillées temporaires, mares, fossés, petits cours d’eau, buissons isolés, groupements de buissons, champs de ronces, arbres biotopes, bosquets de saules têtards, arbres morts. Pour les dimensions minimales par petite structure, voir Chap. 5.0.4
Après le 31 août, la surface de vieille herbe reste au même endroit jusqu'à la prochaine période de végétation et ne doit pas non plus être pâturée. 
</t>
        </r>
      </text>
    </comment>
    <comment ref="I61" authorId="0" shapeId="0" xr:uid="{33A9FF20-1F66-4E07-A8F8-E0C1F16595FC}">
      <text>
        <r>
          <rPr>
            <sz val="9"/>
            <color indexed="81"/>
            <rFont val="Segoe UI"/>
            <family val="2"/>
          </rPr>
          <t>les surfaces de promotion de la biodiversité sur les terres arables (jachères, lisières, bandes culturales extensives) sont en principe de grande qualité et sont automatiquement reprises.</t>
        </r>
      </text>
    </comment>
    <comment ref="I62" authorId="0" shapeId="0" xr:uid="{4ACA9C1B-113C-44D7-84BB-EE7F4733BE2F}">
      <text>
        <r>
          <rPr>
            <sz val="9"/>
            <color indexed="81"/>
            <rFont val="Segoe UI"/>
            <family val="2"/>
          </rPr>
          <t xml:space="preserve">les surfaces de promotion de la biodiversité sur les terres arables (jachères, lisières, bandes culturales extensives) sont en principe de grande qualité et sont automatiquement reprises.
</t>
        </r>
      </text>
    </comment>
    <comment ref="I63" authorId="0" shapeId="0" xr:uid="{0219D885-3B82-4D5E-ABBF-6F728C882CEF}">
      <text>
        <r>
          <rPr>
            <sz val="9"/>
            <color indexed="81"/>
            <rFont val="Segoe UI"/>
            <family val="2"/>
          </rPr>
          <t>les surfaces de promotion de la biodiversité sur les terres arables (jachères, lisières, bandes culturales extensives) sont en principe de grande qualité et sont automatiquement reprises.</t>
        </r>
      </text>
    </comment>
    <comment ref="I64" authorId="0" shapeId="0" xr:uid="{05899EE0-00A4-4206-8987-3DB1650C4837}">
      <text>
        <r>
          <rPr>
            <sz val="9"/>
            <color indexed="81"/>
            <rFont val="Segoe UI"/>
            <family val="2"/>
          </rPr>
          <t>les surfaces de promotion de la biodiversité sur les terres arables (jachères, lisières, bandes culturales extensives) sont en principe de grande qualité et sont automatiquement reprises.</t>
        </r>
      </text>
    </comment>
    <comment ref="I66" authorId="0" shapeId="0" xr:uid="{FB0B696A-22A9-4E4C-B361-541414969629}">
      <text>
        <r>
          <rPr>
            <sz val="9"/>
            <color indexed="81"/>
            <rFont val="Segoe UI"/>
            <family val="2"/>
          </rPr>
          <t>Les bandes pluriannuelles semées pour organismes utiles sur terres assolées à partir de la deuxième année d’existence  peuvent être saisies sous qualité et présentent en même temps diversité des structures 
Comme les bandes annuelles semées pour organismes utiles sur terres assolées (572) ne restent en place que 100 jours, il n’est pas possible de saisir une diversité des structures. En particulier, elles ne constituent pas de structure durant les mois d’hiver.</t>
        </r>
      </text>
    </comment>
    <comment ref="G67" authorId="0" shapeId="0" xr:uid="{6DC403EE-9B25-44A9-8FD9-7D7BDB728B03}">
      <text>
        <r>
          <rPr>
            <sz val="9"/>
            <color indexed="81"/>
            <rFont val="Segoe UI"/>
            <family val="2"/>
          </rPr>
          <t>Ici on saisit la surface de l’ensemble de la culture permanente avec bandes semées pour organismes utiles. Le système en prend ensuite automatiquement 5 % en tant que SPB.</t>
        </r>
      </text>
    </comment>
    <comment ref="K68" authorId="0" shapeId="0" xr:uid="{3B268DE0-A5B1-41BA-93B5-0895B1C2E7FF}">
      <text>
        <r>
          <rPr>
            <sz val="9"/>
            <color indexed="81"/>
            <rFont val="Segoe UI"/>
            <family val="2"/>
          </rPr>
          <t xml:space="preserve">Part minimale de petites structures : une petite structure doit être présente par 7 ares. Exemple : 40 ares de haies, de bosquets champêtres et de berges boisées (avec bande herbeuse) (852) exigent 6 petites structures.
Sont considérés comme petites structures dans les haies, bosquets champêtres et les berges boisées (852) :
Tas de pierres, blocs de roche, tas de branches et de bois, fossés conducteurs d‘eau.
Surface minimale par petite structure, voir Chap. 5.0.4
</t>
        </r>
      </text>
    </comment>
    <comment ref="I69" authorId="0" shapeId="0" xr:uid="{654CC2F2-3010-4CF5-B638-021CFEE248B5}">
      <text>
        <r>
          <rPr>
            <b/>
            <sz val="9"/>
            <color indexed="81"/>
            <rFont val="Segoe UI"/>
            <family val="2"/>
          </rPr>
          <t>Simon Birrer:</t>
        </r>
        <r>
          <rPr>
            <sz val="9"/>
            <color indexed="81"/>
            <rFont val="Segoe UI"/>
            <family val="2"/>
          </rPr>
          <t xml:space="preserve">
Streueflächen werden immer als hochwertig taxiert. Deshalb verzichten wir auf eine Eingabe der Streue QII</t>
        </r>
      </text>
    </comment>
    <comment ref="K69" authorId="0" shapeId="0" xr:uid="{57FDF7AE-7919-41E0-AFEA-CF7AC36B9BED}">
      <text>
        <r>
          <rPr>
            <b/>
            <sz val="9"/>
            <color indexed="81"/>
            <rFont val="Segoe UI"/>
            <family val="2"/>
          </rPr>
          <t xml:space="preserve">Part minimale de petites structures : 10 %
</t>
        </r>
        <r>
          <rPr>
            <sz val="9"/>
            <color indexed="81"/>
            <rFont val="Segoe UI"/>
            <family val="2"/>
          </rPr>
          <t xml:space="preserve">Sont considérées comme petites structures dans les surfaces à litière (851) :
Surfaces de vieille herbe : surface minimale 10 %. Après le 31 août, la surface de vieilles herbes reste au même endroit jusqu’à la prochaine période de végétation et ne doit pas non plus être pâturée en automne.
Tas de branches, tas de bois, souches d’arbres avec racines, tas de litière, double clôture, tas de pierres, blocs de roche, murs en pierre naturelle, surfaces en graviers, surfaces rudérales, terres ouvertes, étangs, zones humides et mouillées temporaires, mares, fossés, petits cours d’eau, buissons isolés, groupements de buissons, champs de ronces, arbres biotopes, bosquets de saules têtards, arbres morts. Pour les dimensions minimales par petite structure, voir Chap. 5.0.4
</t>
        </r>
      </text>
    </comment>
    <comment ref="K70" authorId="0" shapeId="0" xr:uid="{49A7E758-980D-4E77-A36D-FA6D8BB4903B}">
      <text>
        <r>
          <rPr>
            <sz val="9"/>
            <color indexed="81"/>
            <rFont val="Segoe UI"/>
            <family val="2"/>
          </rPr>
          <t>Part minimale de petites structures : 10 %
Sont considérés comme petites structures dans les prairies riveraines (851) :
Tas de branches, tas de bois, souches d’arbres avec racines, tas de litière, double clôture, tas de pierres, blocs de roche, murs en pierre naturelle, surfaces en graviers, surfaces rudérales, terres ouvertes, étangs, zones humides et mouillées temporaires, mares, fossés, petits cours d’eau, buissons isolés, groupements de buissons, champs de ronces, arbres biotopes, bosquets de saules têtards, arbres morts. Pour les dimensions minimales par petite structure, voir Chap. 5.0.4</t>
        </r>
      </text>
    </comment>
    <comment ref="K71" authorId="0" shapeId="0" xr:uid="{3E17A1A1-CB59-4500-93EE-B5CE16A7DA24}">
      <text>
        <r>
          <rPr>
            <sz val="9"/>
            <color indexed="81"/>
            <rFont val="Segoe UI"/>
            <family val="2"/>
          </rPr>
          <t xml:space="preserve">Part minimale de petites structures : 10 %
Sont considérées comme petites structures dans les surfaces viticoles présentant une biodiversité naturelle (717) :
Surfaces de vieille herbe : surface minimale 10 %. Après le 31 août, la surface de vieilles herbes reste au même endroit jusqu’à la prochaine période de végétation et ne doit pas non plus être pâturée en automne
Tas de branches, tas de bois, souches d’arbres avec racines, tas de litière, double clôture, tas de pierres, blocs de roche, murs en pierre naturelle, surfaces en graviers, surfaces rudérales, terres ouvertes, étangs, zones humides et mouillées temporaires, mares, fossés, petits cours d’eau, buissons isolés, groupements de buissons, champs de ronces, arbres biotopes, bosquets de saules têtards, arbres morts.
Pour les dimensions minimales par petite structure, voir Chap. 5.0.4 
</t>
        </r>
      </text>
    </comment>
    <comment ref="B77" authorId="0" shapeId="0" xr:uid="{AF8EBC32-2D36-4141-B5F5-14493357FCBC}">
      <text>
        <r>
          <rPr>
            <sz val="9"/>
            <color indexed="81"/>
            <rFont val="Segoe UI"/>
            <family val="2"/>
          </rPr>
          <t>au moins 9 % de la SAU doivent être désignés comme SPB sans arbres</t>
        </r>
      </text>
    </comment>
    <comment ref="B83" authorId="0" shapeId="0" xr:uid="{387D4E22-F5A3-4B0E-8110-B027F94614CA}">
      <text>
        <r>
          <rPr>
            <sz val="9"/>
            <color indexed="81"/>
            <rFont val="Segoe UI"/>
            <family val="2"/>
          </rPr>
          <t>5 % für Spezialkulturen
9 % für übrige</t>
        </r>
      </text>
    </comment>
    <comment ref="B88" authorId="0" shapeId="0" xr:uid="{A83DDEB2-08C0-445D-A425-CEF68DB1497F}">
      <text>
        <r>
          <rPr>
            <sz val="9"/>
            <color indexed="81"/>
            <rFont val="Segoe UI"/>
            <family val="2"/>
          </rPr>
          <t>wird berechnet aus: 
Summe von Buntbrachen (556), Rotationsbrachen (557), Säume auf Ackerland (559), Ackerschonstreifen (555) und Nützlingsstreifen (572) plus 5.13.1 Getreide in weiter Reihe (Das System rechnet aber max. 1,75 % der AF an und nur falls mind. 3 ha oAF vorhanden sind.)</t>
        </r>
      </text>
    </comment>
    <comment ref="B91" authorId="0" shapeId="0" xr:uid="{38B540CB-96DC-45B8-B020-16DF1BFD83F3}">
      <text>
        <r>
          <rPr>
            <sz val="9"/>
            <color indexed="81"/>
            <rFont val="Segoe UI"/>
            <family val="2"/>
          </rPr>
          <t>• Une part substantielle de surfaces de promotion de la biodiversité de haute qualité sur les terres assolées est nécessaire pour préserver les espèces typiques des terres assolées (flore accompagnant les cultures, insectes utiles, oiseaux nichant au sol, lièvres). Seules les cul-tures pluriannuelles sans utilisation de produits phytosanitaires ou d’engrais sur toute la sur-face, correspondent à des surfaces de biodiversité de haute qualité IPS. Il s’agit notamment des jachères florales (556), des jachères tournantes (557), des ourlets sur les terres assolées (559), des bandes culturales extensives (555) et des bandes pluriannuelles semées pour or-ganismes utiles dans les terres ouverte (572). Ces bandes ayant deux ans ou plus d'exis-tence sont à privilégier, car elles présentent des structures précieuses pendant les mois d'hiver.</t>
        </r>
      </text>
    </comment>
    <comment ref="C134" authorId="0" shapeId="0" xr:uid="{4DB02C12-F2D3-4708-B073-3591F299AA44}">
      <text>
        <r>
          <rPr>
            <sz val="9"/>
            <color indexed="81"/>
            <rFont val="Segoe UI"/>
            <family val="2"/>
          </rPr>
          <t>Les petites surfaces peuvent être implantées dans les céréales, le colza, le tournesol et le maïs. Il est important de les installer correctement, loin des voies de traitement ! Si elles sont placées sur ou le long des voies de traitement, elles sont souvent fouillées par les prédateurs de nids et les nids sont pillés.
Exigences
La surface totale de la culture principale (p. ex. blé) est déclarée.
Au moins 3 petites surfaces de 3 × 9 m par hectare ou une bande de 3 × 25 m (ou 2 × 40 m).
Veillez à une implantation correcte : pas en bordure de champs ou voies de traitement et réparties uniformément.
Le désherbage mécanique (herse étrille) n’est pas autorisé sur les petites surfaces. Contexte : les petites surfaces créent un couvert supplémentaire pour les oiseaux nichant au sol.
Pas d’utilisation d’herbicide dès le semis de la culture principale (p. ex. blé).
Les rumex, chardons des champs, et liserons peuvent être combattus manuellement ou chimiquement avec un pulvérisateur à dos.
En option : ensemencement de petites surfaces avec un mélange d’herbes sauvages indigènes (en novembre pour les cultures d’hiver ou en février/mars pour les cultures d’été).
Pour plus de détails, voir : Patch alouette</t>
        </r>
      </text>
    </comment>
    <comment ref="C136" authorId="0" shapeId="0" xr:uid="{0D687820-E2E5-4BCC-BE07-81CD1B6D6372}">
      <text>
        <r>
          <rPr>
            <sz val="9"/>
            <color indexed="81"/>
            <rFont val="Segoe UI"/>
            <family val="2"/>
          </rPr>
          <t xml:space="preserve">Ici, il est possible de déclarer des «Céréales en lignes de semis espacées». Dans certains projets cantonaux de mise en réseau, cette surface peut être déclarée comme « surface de promotion de la biodiversité spécifique à la région Typ 16». </t>
        </r>
      </text>
    </comment>
    <comment ref="C142" authorId="0" shapeId="0" xr:uid="{D9A15408-4651-4FFF-8F07-4F414DA4C1DC}">
      <text>
        <r>
          <rPr>
            <sz val="9"/>
            <color indexed="81"/>
            <rFont val="Segoe UI"/>
            <family val="2"/>
          </rPr>
          <t>En cas de sous-semis dans le maïs, un mélange de graminées/trèfle est semé entre les rangs. L’utilisation d’herbicides sur toute la surface n’est pas autorisée.</t>
        </r>
      </text>
    </comment>
    <comment ref="C148" authorId="0" shapeId="0" xr:uid="{F594E00F-C0CE-416A-B069-EAD53CF9089A}">
      <text>
        <r>
          <rPr>
            <sz val="9"/>
            <color indexed="81"/>
            <rFont val="Segoe UI"/>
            <family val="2"/>
          </rPr>
          <t>Sont prises en compte toutes les cultures arables, cultivées sans régulateurs de croissance/phytorégulateurs, fongicides, stimulateurs des défenses naturelles et insecticides (exigences OPD).
Les cultures suivantes peuvent être déclarées : colza, blé panifiable, blé dur, blé fourrager, seigle, épeautre, avoine, orge, triticale, amidonnier, engrain et des mélanges de semences de ces derniers céréales, lin, betteraves sucrières, tournesol, légumes de conservation de plein champ, pois, féverole et lupin. Les pommes de terre ne peuvent être annoncées.
Les cultures sont inscrites au programme «Renoncement aux produits phytosanitaires» (anciennement Extenso) de la Confédération. La culture biologique est également possible.</t>
        </r>
      </text>
    </comment>
    <comment ref="C150" authorId="0" shapeId="0" xr:uid="{1407659B-FEEF-4FD4-B47A-09DB7C66C511}">
      <text>
        <r>
          <rPr>
            <sz val="9"/>
            <color indexed="81"/>
            <rFont val="Segoe UI"/>
            <family val="2"/>
          </rPr>
          <t>Toutes les cultures de pommes de terre cultivées sans insecticides sont prises en compte. Seuls les produits à base du Bacillus thuringiensis naturel contre le doryphore de la pomme de terre sont autorisés (conformément aux contributions pour les systèmes de production en grandes cultures de la Confédération). La culture biologique est également possible</t>
        </r>
      </text>
    </comment>
    <comment ref="C154" authorId="0" shapeId="0" xr:uid="{C383954E-3084-4885-9CC6-BE8B6CBF56C1}">
      <text>
        <r>
          <rPr>
            <sz val="9"/>
            <color indexed="81"/>
            <rFont val="Segoe UI"/>
            <family val="2"/>
          </rPr>
          <t xml:space="preserve">Est prise en compte la surface de toutes les cultures arables cultivées dans les zones de montagne I, II, III et IV. </t>
        </r>
      </text>
    </comment>
    <comment ref="C169" authorId="0" shapeId="0" xr:uid="{50F2B335-722E-4C2E-BFFE-80BDDB79F3CB}">
      <text>
        <r>
          <rPr>
            <sz val="9"/>
            <color indexed="81"/>
            <rFont val="Segoe UI"/>
            <family val="2"/>
          </rPr>
          <t>Une exploitation échelonnée des prairies avec une date de fauche antérieure à la date de fauche OPD,
n’est possible que sur les surfaces pour lesquelles une telle mesure est fixée dans un projet de mise en
réseau ou dans un contrat de protection de la nature. La dérogation à la date de fauche doit faire l’objet
d’un accord par écrit.
Directives IP-SUISSE – Biodiversité 1.1.2025 32
Surfaces de vieille herbe
• Surface minimale : 10 %
• Après le 31 août, la surface de vieilles herbes reste au même endroit jusqu’à la prochaine période de
végétation et ne doit pas non plus être pâturée en automne.</t>
        </r>
      </text>
    </comment>
    <comment ref="C180" authorId="0" shapeId="0" xr:uid="{6F1A28E2-7427-4E15-9569-EA33374032D9}">
      <text>
        <r>
          <rPr>
            <sz val="9"/>
            <color indexed="81"/>
            <rFont val="Segoe UI"/>
            <family val="2"/>
          </rPr>
          <t>Sont prises en compte les prairies intensives fauchées à chaque coupe au moyen de barres de coupe (Busatis, motofaucheuses, faux, etc.). (Utilisation de faucheuses à barre de coupe sur les SPB, voir 11.1).</t>
        </r>
      </text>
    </comment>
    <comment ref="B197" authorId="0" shapeId="0" xr:uid="{B2921CA2-E7BF-495A-827F-22C5DF2A2486}">
      <text>
        <r>
          <rPr>
            <sz val="9"/>
            <color indexed="81"/>
            <rFont val="Segoe UI"/>
            <family val="2"/>
          </rPr>
          <t xml:space="preserve">Une lisière de forêt valorisée est une lisière de forêt qui est valorisée en collaboration avec le forestier. Le forestier doit délivrer une attestation pour les mètres courants correspondants. Cette mesure est la seule qui ne peut pas être mise en œuvre sur la SAU de l’exploitation. La personne qui souhaite faire valoir des points doit prouver qu’elle gère la lisière de forêt (en propriété ou dans le cadre d’un rapport d’exploitation). Vous trouvez un modèle d’attestation sous:  Confirmation lisière de forêt étagée
Les interventions d’entretien suivantes (tous les 4 à 6 ans) sont obligatoires pour maintenir la lisière étagée, et sont enregistrées dans le système de points. Si aucune intervention d’entretien n’est effectuée dans les sept ans, le nombre de points est effacé.
Les données ne peuvent être inscrites que pour l'année en cours !
</t>
        </r>
      </text>
    </comment>
    <comment ref="G198" authorId="0" shapeId="0" xr:uid="{DE21F733-E953-4CCE-B9AC-E791BFAE9EC0}">
      <text>
        <r>
          <rPr>
            <sz val="9"/>
            <color indexed="81"/>
            <rFont val="Segoe UI"/>
            <family val="2"/>
          </rPr>
          <t>Longueur revalorisée</t>
        </r>
      </text>
    </comment>
    <comment ref="K198" authorId="0" shapeId="0" xr:uid="{A69083EA-599B-4E1D-B653-F1F417C34A1B}">
      <text>
        <r>
          <rPr>
            <sz val="9"/>
            <color indexed="81"/>
            <rFont val="Segoe UI"/>
            <family val="2"/>
          </rPr>
          <t>Longueur revalorisée</t>
        </r>
      </text>
    </comment>
    <comment ref="C205" authorId="0" shapeId="0" xr:uid="{9A168E86-E5C9-4919-B3AC-C7EC12F40233}">
      <text>
        <r>
          <rPr>
            <sz val="9"/>
            <color indexed="81"/>
            <rFont val="Segoe UI"/>
            <family val="2"/>
          </rPr>
          <t>Aucun bord des champs dans les grandes cultures ne doit être broyé (mulché), ceci durant toute l’année. En raison de la vitesse de rotation très élevée des outils et de la proximité au sol, les petits animaux et les insectes n’ont aucune chance d’échapper vivants au broyeur. Comme l’herbe fauchée reste sur les surfaces, il y a un enrichissement en substances nutritives et une augmentation des plantes aimant l’azote – généralement des graminées.</t>
        </r>
      </text>
    </comment>
    <comment ref="C208" authorId="0" shapeId="0" xr:uid="{2209FD5D-BCEB-4F87-925A-BEB2AFCBA4BB}">
      <text>
        <r>
          <rPr>
            <sz val="9"/>
            <color indexed="81"/>
            <rFont val="Segoe UI"/>
            <family val="2"/>
          </rPr>
          <t>Les exploitations qui élèvent des races animales typiques de la région et menacées de disparition, contribuent à la préservation de la diversité génétique. Le nombre d’animaux du herd-book des races animales concernées, doit être indiqué.
Vous trouvez ici quelles races animales sont considérées comme menacées :
Animaux races traditionnelles - ProSpecieRara
En plus de cette liste, les anciennes races bovines suisses (p. ex. la race Brune originale, la race d'Hérens, race pur Simmental (code 60) peuvent être indiquées !</t>
        </r>
      </text>
    </comment>
    <comment ref="C210" authorId="0" shapeId="0" xr:uid="{F5F077A8-3DA8-455E-A1E3-B74D3C7AF492}">
      <text>
        <r>
          <rPr>
            <sz val="9"/>
            <color indexed="81"/>
            <rFont val="Segoe UI"/>
            <family val="2"/>
          </rPr>
          <t>En cultivant des plantes utiles typiques de la région et menacées de disparition, les exploitations contribuent à la conservation de la diversité génétique. Il faut indiquer le nombre d’arbres haute-tige, respectivement la surface en ares. Les exploitants doivent présenter une liste correspondante avec indication des variétés de fruits ou des variétés de plantes.
Vous trouvez les listes des variétés admises sous :
Anciennes variétés fruits
Plantes de plein champs - ProSpecieRara
Pommes de terre - ProSpecieRara</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Simon Birrer</author>
    <author>tc={62627A67-F80C-4E04-91B2-F49F3AB466DC}</author>
  </authors>
  <commentList>
    <comment ref="C9" authorId="0" shapeId="0" xr:uid="{0AFDB02D-4E52-4DC3-A162-FE6381E58240}">
      <text>
        <r>
          <rPr>
            <sz val="9"/>
            <color indexed="81"/>
            <rFont val="Segoe UI"/>
            <family val="2"/>
          </rPr>
          <t>jachères florales et tournantes, les ourlets sur terres assolées et
les bandes semées pour organismes utiles pluriannuelles</t>
        </r>
      </text>
    </comment>
    <comment ref="C12" authorId="0" shapeId="0" xr:uid="{061CE003-88D2-4D66-AB35-935F45651E12}">
      <text>
        <r>
          <rPr>
            <sz val="9"/>
            <color indexed="81"/>
            <rFont val="Segoe UI"/>
            <family val="2"/>
          </rPr>
          <t>dans ou à proximité de cultures maraîchères ; durée minimale de mise en place : 100 jours, labourage au plus tôt le 15 août.</t>
        </r>
      </text>
    </comment>
    <comment ref="C16" authorId="0" shapeId="0" xr:uid="{A1DAEFFB-51F8-4171-977D-C54189CB32E2}">
      <text>
        <r>
          <rPr>
            <sz val="9"/>
            <color indexed="81"/>
            <rFont val="Segoe UI"/>
            <family val="2"/>
          </rPr>
          <t>(autres cultures maraîchères possibles)
Attention : respecter les exigences Spe8 !</t>
        </r>
      </text>
    </comment>
    <comment ref="C54" authorId="0" shapeId="0" xr:uid="{F609DF31-28D5-4879-9206-67D87E461A7F}">
      <text>
        <r>
          <rPr>
            <sz val="9"/>
            <color indexed="81"/>
            <rFont val="Segoe UI"/>
            <family val="2"/>
          </rPr>
          <t>Achtung: Spe8-Auflagen beachten!</t>
        </r>
      </text>
    </comment>
    <comment ref="A62" authorId="1" shapeId="0" xr:uid="{62627A67-F80C-4E04-91B2-F49F3AB466DC}">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Wie in Deutscher Version: 2 x C13</t>
      </text>
    </comment>
    <comment ref="C66" authorId="0" shapeId="0" xr:uid="{03154A39-B30A-42B4-BA6F-DA51091F7B3E}">
      <text>
        <r>
          <rPr>
            <sz val="9"/>
            <color indexed="81"/>
            <rFont val="Segoe UI"/>
            <family val="2"/>
          </rPr>
          <t>les micro-organismes ainsi que les substances actives naturelles sont autorisés
(sans les substances actives spinosad et pyrethrum) sont autorisés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Simon Birrer</author>
  </authors>
  <commentList>
    <comment ref="C5" authorId="0" shapeId="0" xr:uid="{1D5FC5B8-4182-4C08-80D9-BBD2D4B0C238}">
      <text>
        <r>
          <rPr>
            <sz val="9"/>
            <color indexed="81"/>
            <rFont val="Segoe UI"/>
            <family val="2"/>
          </rPr>
          <t>La surface viticole déclarée correspond à la surface annoncée pour la contribution au système de production prévue par l’OPD pour la mesure du même nom.
Les exigences de l’OPD sont remplies.</t>
        </r>
      </text>
    </comment>
    <comment ref="C9" authorId="0" shapeId="0" xr:uid="{6C523511-5C59-484C-BAC3-9A770CDEE985}">
      <text>
        <r>
          <rPr>
            <sz val="9"/>
            <color indexed="81"/>
            <rFont val="Segoe UI"/>
            <family val="2"/>
          </rPr>
          <t xml:space="preserve">Inscription à la mesure du même nom dans les contributions au système de production selon l’OPD.
Les exigences de l’OPD sont remplies en viticulture. Selon l’OPD, chaque surface viticole de l’exploitation doit être enherbée à au moins 70%, à l’exception des jeunes cultures jusqu’à la troisième année suivant la plantation.
Doit être respecté toute l'année et dans toute l’exploitation.
</t>
        </r>
      </text>
    </comment>
    <comment ref="C13" authorId="0" shapeId="0" xr:uid="{8BC7648C-8272-4AC0-B8D6-DB26DCEE76C1}">
      <text>
        <r>
          <rPr>
            <sz val="9"/>
            <color indexed="81"/>
            <rFont val="Segoe UI"/>
            <family val="2"/>
          </rPr>
          <t xml:space="preserve">La surface viticole déclarée correspond à la surface annoncée pour la contribution au système de production prévue par l’OPD pour la mesure du même nom.
Les exigences de l’OPD sont remplies.
Les points ne peuvent pas être cumulés avec la mesure « Exploitation de la surface viticole à l’aide d’intrants conformes à l’agriculture biologique selon OPD ».
</t>
        </r>
      </text>
    </comment>
    <comment ref="C17" authorId="0" shapeId="0" xr:uid="{CFCFD835-6921-4F83-8EC6-1B2E8181292D}">
      <text>
        <r>
          <rPr>
            <sz val="9"/>
            <color indexed="81"/>
            <rFont val="Segoe UI"/>
            <family val="2"/>
          </rPr>
          <t xml:space="preserve">La surface viticole déclarée correspond à la surface annoncée pour la contribution au système de production prévue par l’OPD pour la mesure du même nom.
Les exigences de l’OPD sont remplies.
Les points ne peuvent pas être cumulés avec la mesure « Non-recours aux insecticides, acaricides et fongicides après la floraison dans la surface viticole selon OPD ».
</t>
        </r>
      </text>
    </comment>
    <comment ref="C21" authorId="0" shapeId="0" xr:uid="{6746D4B5-AF25-4489-B238-224ABBBA70F2}">
      <text>
        <r>
          <rPr>
            <sz val="9"/>
            <color indexed="81"/>
            <rFont val="Segoe UI"/>
            <family val="2"/>
          </rPr>
          <t>La surface indiquée est plantée avec des cépages mentionnés dans la circulaire sur les améliorations structurelles.</t>
        </r>
      </text>
    </comment>
    <comment ref="C24" authorId="0" shapeId="0" xr:uid="{E681A3DC-5C53-4922-A046-E7B1BB4E7798}">
      <text>
        <r>
          <rPr>
            <sz val="9"/>
            <color indexed="81"/>
            <rFont val="Segoe UI"/>
            <family val="2"/>
          </rPr>
          <t xml:space="preserve">La surface viticole est prise en compte si au minimum 1⁄3 et jusqu’à 2⁄3 du sol est nu pendant le semestre d’été (du 1er avril au 31 août).
Peuvent être prises en compte : une parcelle, une partie d’une parcelle, plusieurs parcelles contiguës.
Le sol nu peut être obtenu par bêchage, hachage ou traitement herbicide. Les lacunes naturellement présentes dans la végétation sont aussi prises en compte.
Les exigences de l'OPD doivent être respectées dans les surfaces viticoles présentant une biodiversité naturelle (717).
En cas de végétation dense, il peut être nécessaire de travailler le sol superficiellement. Il faut tenir compte du risque d'érosion. En présence de plantes à bulbes, le travail du sol ne devrait être effectué qu'à partir de la mi-mai.
La mesure « Couverture appropriée du sol en viticulture » des contributions au système de production (CSP) peut être compatible si l'enherbement est suffisamment clairsemé et présente des lacunes naturelles dans les interlignes.
</t>
        </r>
      </text>
    </comment>
  </commentList>
</comments>
</file>

<file path=xl/sharedStrings.xml><?xml version="1.0" encoding="utf-8"?>
<sst xmlns="http://schemas.openxmlformats.org/spreadsheetml/2006/main" count="952" uniqueCount="493">
  <si>
    <t>DGVE/ha</t>
  </si>
  <si>
    <t>è</t>
  </si>
  <si>
    <t>der LN</t>
  </si>
  <si>
    <t>DGVE/ha:</t>
  </si>
  <si>
    <t>Punkte</t>
  </si>
  <si>
    <t>m</t>
  </si>
  <si>
    <t>DGVE total</t>
  </si>
  <si>
    <t>1.1.1</t>
  </si>
  <si>
    <t>1.1.2</t>
  </si>
  <si>
    <t>1.1.3</t>
  </si>
  <si>
    <t>1.1.4</t>
  </si>
  <si>
    <t>Viehbesatz</t>
  </si>
  <si>
    <t>5.10</t>
  </si>
  <si>
    <t>5.15.1</t>
  </si>
  <si>
    <t>5.16.1</t>
  </si>
  <si>
    <t>%</t>
  </si>
  <si>
    <t>12.1.1</t>
  </si>
  <si>
    <t>12.1.2</t>
  </si>
  <si>
    <t>des Intensivgrünlands</t>
  </si>
  <si>
    <t>Düngung des intensiv genutzten Grünlands nur mit organischem Dünger</t>
  </si>
  <si>
    <t>1.2</t>
  </si>
  <si>
    <t>1.2.1</t>
  </si>
  <si>
    <t>1.2.2</t>
  </si>
  <si>
    <t>6.1.1</t>
  </si>
  <si>
    <t>6.1.2</t>
  </si>
  <si>
    <t xml:space="preserve">% </t>
  </si>
  <si>
    <t>10.8</t>
  </si>
  <si>
    <t>Total</t>
  </si>
  <si>
    <t>8.1</t>
  </si>
  <si>
    <t>1. Grenze</t>
  </si>
  <si>
    <t>1. Wert</t>
  </si>
  <si>
    <t>2. Grenze</t>
  </si>
  <si>
    <t>2. Wert</t>
  </si>
  <si>
    <t>3. Grenze</t>
  </si>
  <si>
    <t>3. Wert</t>
  </si>
  <si>
    <t>4. Grenze</t>
  </si>
  <si>
    <t>4. Wert</t>
  </si>
  <si>
    <t>5. Grenze</t>
  </si>
  <si>
    <t>5. Wert</t>
  </si>
  <si>
    <t>6. Grenze</t>
  </si>
  <si>
    <t>6. Wert</t>
  </si>
  <si>
    <t>Zielpunkte</t>
  </si>
  <si>
    <t>Grundbedingung</t>
  </si>
  <si>
    <t>5.17.1</t>
  </si>
  <si>
    <t>eMail:</t>
  </si>
  <si>
    <t>Adresse:</t>
  </si>
  <si>
    <t xml:space="preserve"> </t>
  </si>
  <si>
    <t>1.1.5</t>
  </si>
  <si>
    <t>5.8.1</t>
  </si>
  <si>
    <t>5.15</t>
  </si>
  <si>
    <t>5.18.1</t>
  </si>
  <si>
    <t>5.19.1</t>
  </si>
  <si>
    <t>5.17.2</t>
  </si>
  <si>
    <t>5.17.3</t>
  </si>
  <si>
    <t>12.1.3</t>
  </si>
  <si>
    <t>10.1.1</t>
  </si>
  <si>
    <t>linear</t>
  </si>
  <si>
    <t>linear!</t>
  </si>
  <si>
    <t>10.7.1</t>
  </si>
  <si>
    <t>1.1</t>
  </si>
  <si>
    <t>50 m²</t>
  </si>
  <si>
    <t>2.8.1</t>
  </si>
  <si>
    <t>6 m²</t>
  </si>
  <si>
    <t>2.7.6</t>
  </si>
  <si>
    <t>2.7.5</t>
  </si>
  <si>
    <t>2.7.4</t>
  </si>
  <si>
    <t>2.7.3</t>
  </si>
  <si>
    <t>2.7.2</t>
  </si>
  <si>
    <t>2.7.1</t>
  </si>
  <si>
    <t>2.6.6</t>
  </si>
  <si>
    <t>2.6.5</t>
  </si>
  <si>
    <t>2.6.4</t>
  </si>
  <si>
    <t>2.6.3</t>
  </si>
  <si>
    <t>2.6.2</t>
  </si>
  <si>
    <t>2.6.1</t>
  </si>
  <si>
    <t>2.5.1</t>
  </si>
  <si>
    <t>2.4.1</t>
  </si>
  <si>
    <t>2.3.2</t>
  </si>
  <si>
    <t>2.3.1</t>
  </si>
  <si>
    <t>2.2.3</t>
  </si>
  <si>
    <t>2.2.2</t>
  </si>
  <si>
    <t>2.2.1</t>
  </si>
  <si>
    <t>2.1.6</t>
  </si>
  <si>
    <t>2.1.5</t>
  </si>
  <si>
    <t>2.1.4</t>
  </si>
  <si>
    <t>2.1.3</t>
  </si>
  <si>
    <t>2.1.2</t>
  </si>
  <si>
    <t>2.1.1</t>
  </si>
  <si>
    <t>1.3</t>
  </si>
  <si>
    <t>Nr.</t>
  </si>
  <si>
    <t>1.1.6</t>
  </si>
  <si>
    <t>1.1.6.1</t>
  </si>
  <si>
    <t>5.16.3</t>
  </si>
  <si>
    <t>5.16.2</t>
  </si>
  <si>
    <t>Grünland_plus_Streueland</t>
  </si>
  <si>
    <t>nicht Ackerfläche</t>
  </si>
  <si>
    <t>valeur à atteindre: 15 points</t>
  </si>
  <si>
    <t>Points totaux:</t>
  </si>
  <si>
    <t>Points totaux</t>
  </si>
  <si>
    <t>remarques:</t>
  </si>
  <si>
    <t>Points mesures spéciales biodiversité</t>
  </si>
  <si>
    <t>points selon l'évaluation d'un conseiller</t>
  </si>
  <si>
    <t xml:space="preserve">nichoirs, surface de sol dénudé, détecteur infrarouge, clôture pour amphibiens, etc. </t>
  </si>
  <si>
    <t xml:space="preserve">par ex. prairie irriguée, haie Benjes, fenaison en bande, mare, étang, murs de pierres sèches, </t>
  </si>
  <si>
    <t>Mesures spécifiques en faveur d'espèces cibles</t>
  </si>
  <si>
    <t>nombre de colonies d'abeilles</t>
  </si>
  <si>
    <t>variétés selon la liste ProSpecie Rara / arbres haute-tige selon liste Fructus</t>
  </si>
  <si>
    <t xml:space="preserve"> races animales selon la liste ProSpecie Rara</t>
  </si>
  <si>
    <t>Diversité génétique</t>
  </si>
  <si>
    <t>bords de champs sans broyage</t>
  </si>
  <si>
    <t>Bords des champs</t>
  </si>
  <si>
    <t>longeur</t>
  </si>
  <si>
    <t>année</t>
  </si>
  <si>
    <t>longeur totale:</t>
  </si>
  <si>
    <t>lisière de forêt revalorisée</t>
  </si>
  <si>
    <t>lisière de forêt et Banquettes</t>
  </si>
  <si>
    <t>Unité</t>
  </si>
  <si>
    <t>2 pts</t>
  </si>
  <si>
    <t>1.5 pt</t>
  </si>
  <si>
    <t>1 pt</t>
  </si>
  <si>
    <t>0.5 pt</t>
  </si>
  <si>
    <t>Points</t>
  </si>
  <si>
    <t>Mesures spéciales en faveur de la biodiversité</t>
  </si>
  <si>
    <r>
      <t>Points prairies</t>
    </r>
    <r>
      <rPr>
        <sz val="12"/>
        <rFont val="Arial Narrow"/>
        <family val="2"/>
      </rPr>
      <t xml:space="preserve"> (pondéré en fonction de la part des prairies+surf. litière sur la SAU)</t>
    </r>
  </si>
  <si>
    <t>Part des prairies et surf. à litière dans la SAU</t>
  </si>
  <si>
    <t>Sous-total des mesures complémentaires dans les prairies et surfaces à litière</t>
  </si>
  <si>
    <t>des prairies intensives</t>
  </si>
  <si>
    <t>renoncement au conditionneur</t>
  </si>
  <si>
    <t>utilisation d'une barre de coupe</t>
  </si>
  <si>
    <t>renoncement à l'ensilage</t>
  </si>
  <si>
    <t>prairies intensives</t>
  </si>
  <si>
    <r>
      <t xml:space="preserve">Mesures dans les prairies intensives </t>
    </r>
    <r>
      <rPr>
        <sz val="11"/>
        <rFont val="Arial Narrow"/>
        <family val="2"/>
      </rPr>
      <t>(prairies permanentes et artificielles)</t>
    </r>
  </si>
  <si>
    <t>des prairies permanentes et surfaces à litière</t>
  </si>
  <si>
    <t>prairies extensives / peu intensives ou pâturages extensifs dans les vergers haute tige</t>
  </si>
  <si>
    <t>utilisation échelonnée des prairies (convention avec service cant. de protection de la nature)</t>
  </si>
  <si>
    <t>renoncement au conditionneur (sur les prairies extensives ou peu intensives)</t>
  </si>
  <si>
    <t>utilisation d'une barre de coupe (sur les prairies ext. ou peu intensives)</t>
  </si>
  <si>
    <t xml:space="preserve">Mesures dans les prairies extensives </t>
  </si>
  <si>
    <t>Prairies</t>
  </si>
  <si>
    <r>
      <t>Points terres ouvertes</t>
    </r>
    <r>
      <rPr>
        <b/>
        <sz val="11"/>
        <color indexed="10"/>
        <rFont val="Arial Narrow"/>
        <family val="2"/>
      </rPr>
      <t xml:space="preserve"> </t>
    </r>
    <r>
      <rPr>
        <sz val="11"/>
        <rFont val="Arial Narrow"/>
        <family val="2"/>
      </rPr>
      <t>(pondéré en fonction de la part des TO sur la SAU)</t>
    </r>
  </si>
  <si>
    <t>terres ouvertes sur la SAU</t>
  </si>
  <si>
    <t>Sous-total des mesures complémentaires sur les terres ouvertes</t>
  </si>
  <si>
    <t>des terres ouvertes</t>
  </si>
  <si>
    <t>renoncement aux herbicides en grande culture</t>
  </si>
  <si>
    <t>gestion des friches</t>
  </si>
  <si>
    <t>sous-semis de graminées/trèfle dans les céréales</t>
  </si>
  <si>
    <t>sous-semis de graminées/trèfle dans le maïs ou maïs-prairie</t>
  </si>
  <si>
    <t>engrais vert hivernat jusqu'au 14 février</t>
  </si>
  <si>
    <t>culture de céréales de printemps</t>
  </si>
  <si>
    <t>céréales en lignes de semis espacées</t>
  </si>
  <si>
    <t>surface sans semis (patch dans les céréales, colza, tournesol ou  maïs)</t>
  </si>
  <si>
    <t>Mesures sur les terres ouvertes</t>
  </si>
  <si>
    <t>Terres ouvertes</t>
  </si>
  <si>
    <t>Mesures de revalorisation sur les surfaces agricoles</t>
  </si>
  <si>
    <t>Points exploitation et surfaces de promotion de la biodiversité</t>
  </si>
  <si>
    <t>points partiels par rapport à la SAU</t>
  </si>
  <si>
    <t>nombre</t>
  </si>
  <si>
    <t>SPB par 20 ha de prairie permanente et surface à litière</t>
  </si>
  <si>
    <r>
      <t xml:space="preserve">nombre de SPB de plus de 10 ares des types </t>
    </r>
    <r>
      <rPr>
        <b/>
        <sz val="11"/>
        <rFont val="Arial Narrow"/>
        <family val="2"/>
      </rPr>
      <t>prairies/pâturages extensifs/peu extensifs, haies ou surfaces à litière</t>
    </r>
  </si>
  <si>
    <t>SPB par 20ha de terres assolées</t>
  </si>
  <si>
    <r>
      <t xml:space="preserve">nombre de SPB de plus de 10 ares </t>
    </r>
    <r>
      <rPr>
        <b/>
        <sz val="11"/>
        <rFont val="Arial Narrow"/>
        <family val="2"/>
      </rPr>
      <t>des types jachères florales ou tournantes, ourlet sur terres assolées ou bande culturale extensive</t>
    </r>
  </si>
  <si>
    <t>Répartition spatiale des SPB</t>
  </si>
  <si>
    <t>de la SAU</t>
  </si>
  <si>
    <t>total des surfaces SPB avec diversité des structures</t>
  </si>
  <si>
    <t>SPB avec diversité des structures</t>
  </si>
  <si>
    <t>par 20 ha</t>
  </si>
  <si>
    <t>SPB Qualité IPS de grande taille par 20 ha</t>
  </si>
  <si>
    <r>
      <t xml:space="preserve">nombre de SPB </t>
    </r>
    <r>
      <rPr>
        <b/>
        <sz val="11"/>
        <rFont val="Arial Narrow"/>
        <family val="2"/>
      </rPr>
      <t>&gt; 25a</t>
    </r>
    <r>
      <rPr>
        <sz val="11"/>
        <rFont val="Arial Narrow"/>
        <family val="2"/>
      </rPr>
      <t xml:space="preserve"> avec </t>
    </r>
    <r>
      <rPr>
        <b/>
        <sz val="11"/>
        <rFont val="Arial Narrow"/>
        <family val="2"/>
      </rPr>
      <t>qualité IPS</t>
    </r>
    <r>
      <rPr>
        <sz val="11"/>
        <rFont val="Arial Narrow"/>
        <family val="2"/>
      </rPr>
      <t xml:space="preserve"> sur prairies/pâturages ext. ...</t>
    </r>
  </si>
  <si>
    <t>points partiels sur les terres assolées (=0% de la SAU)</t>
  </si>
  <si>
    <t>SPB de grande taille par 20 ha de terres assolées</t>
  </si>
  <si>
    <r>
      <t>nombre de SPB</t>
    </r>
    <r>
      <rPr>
        <b/>
        <sz val="11"/>
        <rFont val="Arial Narrow"/>
        <family val="2"/>
      </rPr>
      <t xml:space="preserve"> &gt; 25a</t>
    </r>
    <r>
      <rPr>
        <sz val="11"/>
        <rFont val="Arial Narrow"/>
        <family val="2"/>
      </rPr>
      <t xml:space="preserve"> sur terres assolées</t>
    </r>
  </si>
  <si>
    <t xml:space="preserve">Nombre de SPB de grande taille, avec qualité </t>
  </si>
  <si>
    <t>SPB en zone de montagne III - IV</t>
  </si>
  <si>
    <t>SPB en zone de montagne I - II</t>
  </si>
  <si>
    <t>SPB en zone de plaine / des collines</t>
  </si>
  <si>
    <t>en % de la SAU</t>
  </si>
  <si>
    <r>
      <t>surface totale des SP</t>
    </r>
    <r>
      <rPr>
        <sz val="11"/>
        <color theme="1"/>
        <rFont val="Arial Narrow"/>
        <family val="2"/>
      </rPr>
      <t>B qualité supérieure en qualité IPS</t>
    </r>
  </si>
  <si>
    <t>% sur prairies permanentes/s. à lit.</t>
  </si>
  <si>
    <t>SPB sur prairies permanentes/s. à lit.</t>
  </si>
  <si>
    <t>% des terres assolées</t>
  </si>
  <si>
    <t>SPB sur terres assolées en qualitée IPS</t>
  </si>
  <si>
    <t>SPB sur terres assolées (OPD)</t>
  </si>
  <si>
    <t>total SPB avec les arbres</t>
  </si>
  <si>
    <t>total SPB sans les arbres</t>
  </si>
  <si>
    <t>surface des arbres</t>
  </si>
  <si>
    <t>arbres comme SPB (921, 924)</t>
  </si>
  <si>
    <t>autres types  (904, 905)</t>
  </si>
  <si>
    <t>Surfaces viticoles présentant une biodiversité naturelle (717)</t>
  </si>
  <si>
    <t>surfaces à litière (851)</t>
  </si>
  <si>
    <t>haie, bosquet, berge boisée (582, 585)</t>
  </si>
  <si>
    <t>Bandes semées pour organismes utiles en cultures pérennes et ligneux</t>
  </si>
  <si>
    <t>dont pluriannuelles</t>
  </si>
  <si>
    <t>bandes fleuries  p. pollinisateurs (572)</t>
  </si>
  <si>
    <t>bande culturale extensive</t>
  </si>
  <si>
    <t>ourlet sur terres assolées (559)</t>
  </si>
  <si>
    <t>jachère tournante (557)</t>
  </si>
  <si>
    <t>jachère florale (556)</t>
  </si>
  <si>
    <t>pâturage extensif (617) ou boisé (618, 625)</t>
  </si>
  <si>
    <t>prairie peu intensive (612)</t>
  </si>
  <si>
    <t>prairie extensive (611)</t>
  </si>
  <si>
    <t>diversité des structures</t>
  </si>
  <si>
    <t>qualité OQE</t>
  </si>
  <si>
    <t>avec</t>
  </si>
  <si>
    <t>annoncées</t>
  </si>
  <si>
    <t>Type de SPB</t>
  </si>
  <si>
    <r>
      <t xml:space="preserve">Surfaces de promotion de la biodiversité </t>
    </r>
    <r>
      <rPr>
        <sz val="11"/>
        <rFont val="Arial Narrow"/>
        <family val="2"/>
      </rPr>
      <t>(SPB)</t>
    </r>
  </si>
  <si>
    <t>6 pts</t>
  </si>
  <si>
    <t>5 pts</t>
  </si>
  <si>
    <t>4 pts</t>
  </si>
  <si>
    <t>3 pts</t>
  </si>
  <si>
    <t>Surfaces de promotion de la biodiversité</t>
  </si>
  <si>
    <t>Type d'utilisation</t>
  </si>
  <si>
    <t>types d'utilisation</t>
  </si>
  <si>
    <t xml:space="preserve">quel type de production représente au min. 8% de la SAU de l'exploitation? </t>
  </si>
  <si>
    <t>Type de production</t>
  </si>
  <si>
    <t>moyenne ha</t>
  </si>
  <si>
    <t>taille moyenne</t>
  </si>
  <si>
    <t>nombre d'unité d'utilisation (sans les SPB)</t>
  </si>
  <si>
    <t xml:space="preserve">Utilisation des parcelles </t>
  </si>
  <si>
    <t>B. Biodiversité</t>
  </si>
  <si>
    <t>UGBF/ha</t>
  </si>
  <si>
    <r>
      <t xml:space="preserve">UGBF totaux      </t>
    </r>
    <r>
      <rPr>
        <sz val="11"/>
        <rFont val="ZapfDingbats"/>
        <family val="5"/>
        <charset val="2"/>
      </rPr>
      <t>è</t>
    </r>
  </si>
  <si>
    <t>Unité gros bétail</t>
  </si>
  <si>
    <t>Tel.</t>
  </si>
  <si>
    <t>SAU en zone de montagne III - IV</t>
  </si>
  <si>
    <t>SAU en zone de montagne I - II</t>
  </si>
  <si>
    <t>N° IPS:</t>
  </si>
  <si>
    <t>N° d'exploitation:</t>
  </si>
  <si>
    <t>SAU en zone de plaine - des collines</t>
  </si>
  <si>
    <t>Lieu:</t>
  </si>
  <si>
    <t>NP:</t>
  </si>
  <si>
    <t>prairies artificielles (PA)</t>
  </si>
  <si>
    <t>terres ouvertes (TO)</t>
  </si>
  <si>
    <t>prairies permanentes (PP)</t>
  </si>
  <si>
    <t>% de la SAU :</t>
  </si>
  <si>
    <t>surface agricole utile (SAU), dont:</t>
  </si>
  <si>
    <t>Nom, Prénom:</t>
  </si>
  <si>
    <t>Taille de l'exploitation</t>
  </si>
  <si>
    <t>A. Indications de l'exploitation</t>
  </si>
  <si>
    <r>
      <t xml:space="preserve">champ jaune: à remplir; </t>
    </r>
    <r>
      <rPr>
        <b/>
        <sz val="10"/>
        <rFont val="Arial Narrow"/>
        <family val="2"/>
      </rPr>
      <t>en gras</t>
    </r>
    <r>
      <rPr>
        <sz val="10"/>
        <rFont val="Arial Narrow"/>
        <family val="2"/>
      </rPr>
      <t>: les valeurs cibles</t>
    </r>
  </si>
  <si>
    <t>Version 2010/1d</t>
  </si>
  <si>
    <t>Questionnaire pour les exploitations de plaine (zone de plaine et des collines)</t>
  </si>
  <si>
    <t>Promotion d'une agriculture durable (biodiversité et protection des ressources) sur les exploitations agricoles</t>
  </si>
  <si>
    <t>Zone de plaine (incl. collines)</t>
  </si>
  <si>
    <t>Valeur à atteindre: 15 points</t>
  </si>
  <si>
    <t>2.5 pts</t>
  </si>
  <si>
    <t>prairies intensives fauchées (prairies artificielles et permanentes, déduction faite des SPB)</t>
  </si>
  <si>
    <t>utilisation d'une barre de coupe (sur les prairies extensives ou peu intensives)</t>
  </si>
  <si>
    <t>2 Pt.</t>
  </si>
  <si>
    <t>1.5 Pt.</t>
  </si>
  <si>
    <t>1 Pt.</t>
  </si>
  <si>
    <t>0.5 Pt.</t>
  </si>
  <si>
    <t>Mesures de revalorisation sur les surfaces de production</t>
  </si>
  <si>
    <t>Points exploitation et surfaces de pormotion de la biodiversité</t>
  </si>
  <si>
    <t>des unités utilisation</t>
  </si>
  <si>
    <t>dont avec SPB d'au moins 10 a</t>
  </si>
  <si>
    <t>9.1.1</t>
  </si>
  <si>
    <t>total des surfaces SPBE avec diversité des structures</t>
  </si>
  <si>
    <t>SPB de grande taille par 20 ha SAU</t>
  </si>
  <si>
    <t>Nombre d'unités de plus de 25a avec qualité IPS</t>
  </si>
  <si>
    <t>Nombre de SPB de grande taille, avec qualité IPS</t>
  </si>
  <si>
    <t>SAU en ZM IIi - IV</t>
  </si>
  <si>
    <t>SAU en ZM I - II</t>
  </si>
  <si>
    <t>SAU en ZP/ZC</t>
  </si>
  <si>
    <t>SPB en zone de plaine/des collines</t>
  </si>
  <si>
    <t>% sur prairies permanentes/surf. à lit.</t>
  </si>
  <si>
    <t>total SPB incl. les arbres</t>
  </si>
  <si>
    <t>% de la SAU:</t>
  </si>
  <si>
    <t>A. Indication de l'exploitation</t>
  </si>
  <si>
    <t>Version 2010/1</t>
  </si>
  <si>
    <t>Questionnaire pour les exploitations en zone de montagne (zone de montagne I-IV)</t>
  </si>
  <si>
    <t>Zone de montagne (zone montagne I-IV)</t>
  </si>
  <si>
    <t>Tal</t>
  </si>
  <si>
    <t>Berg</t>
  </si>
  <si>
    <t>plaine</t>
  </si>
  <si>
    <t>2.5</t>
  </si>
  <si>
    <t>terre assolée (TA) (total)</t>
  </si>
  <si>
    <t>Hof+ D</t>
  </si>
  <si>
    <t>Gemüse</t>
  </si>
  <si>
    <t>Reben</t>
  </si>
  <si>
    <t>montagne</t>
  </si>
  <si>
    <t>************************************</t>
  </si>
  <si>
    <t>1.1.F SAU (LN)</t>
  </si>
  <si>
    <t>1.1 LN</t>
  </si>
  <si>
    <t>1.1.6 Spezialkulturen</t>
  </si>
  <si>
    <t>Anteil</t>
  </si>
  <si>
    <t>Cultures spéciales</t>
  </si>
  <si>
    <t>1.1.6 Cultures spéciales</t>
  </si>
  <si>
    <t>Cultures spéciales (toutes les codes)</t>
  </si>
  <si>
    <t>SAU sans cultures spéciales</t>
  </si>
  <si>
    <t>Zones</t>
  </si>
  <si>
    <t>Blätter</t>
  </si>
  <si>
    <t>Daten</t>
  </si>
  <si>
    <t>feuilles</t>
  </si>
  <si>
    <t>dates</t>
  </si>
  <si>
    <t>Warnung</t>
  </si>
  <si>
    <t>Warnung F</t>
  </si>
  <si>
    <t>SAU sans cultures spéciales à 9 % SPB</t>
  </si>
  <si>
    <t>Cultures spéciales à 5 % SPB</t>
  </si>
  <si>
    <t>Proportion minimale SPB</t>
  </si>
  <si>
    <t>Proportion  SPB de la SAU</t>
  </si>
  <si>
    <t>Leerzellen, damit gleiche Zeilenzahl wie plaine</t>
  </si>
  <si>
    <t>Leerzellen, damit Zeilenzahl gleich wie Talzone</t>
  </si>
  <si>
    <t>Verborgene Zeilen anstelle 10.9</t>
  </si>
  <si>
    <t>points "ferme+" (transfert depuis tableau "ferme+")</t>
  </si>
  <si>
    <t>points "viticulture" (transfert depuis tableau "viticulture")</t>
  </si>
  <si>
    <t>points clutures maraîchère (transfert depuis tableau "maraîchère")</t>
  </si>
  <si>
    <r>
      <t xml:space="preserve">autres surfaces (surfaces à litière, </t>
    </r>
    <r>
      <rPr>
        <sz val="11"/>
        <color theme="3" tint="0.39997558519241921"/>
        <rFont val="Arial Narrow"/>
        <family val="2"/>
      </rPr>
      <t>cultures pérennes</t>
    </r>
    <r>
      <rPr>
        <sz val="11"/>
        <rFont val="Arial Narrow"/>
        <family val="2"/>
      </rPr>
      <t xml:space="preserve"> etc.)</t>
    </r>
  </si>
  <si>
    <t>Renoncement aux produits phytosanitaires dans les
grandes cultures</t>
  </si>
  <si>
    <t>Grandes cultures dans les zones de montagne I-IV</t>
  </si>
  <si>
    <t xml:space="preserve">Renoncement aux insecticides dans la culture de pommes de terre </t>
  </si>
  <si>
    <t>E mesures ferme+</t>
  </si>
  <si>
    <t>valeur en points reportée à la main</t>
  </si>
  <si>
    <t>mesures</t>
  </si>
  <si>
    <t>Secteur de mesures / mesures individuelles</t>
  </si>
  <si>
    <t xml:space="preserve">Critères minimaux  </t>
  </si>
  <si>
    <t>Conditions initiales</t>
  </si>
  <si>
    <t>Renoncement aux herbicides</t>
  </si>
  <si>
    <t xml:space="preserve">Si oui : inscrire « 1 » </t>
  </si>
  <si>
    <t xml:space="preserve">Puits, avaloirs, points d’eau couverts </t>
  </si>
  <si>
    <t>Aides pour ressortir d'un endroit (fontaine, bassin, escaliers de cave)</t>
  </si>
  <si>
    <t>Vous obtenez une grande diversité sur votre ferme, si vous implémentez des mesures dans chaque catégorie (2.1, 2.2 etc.).</t>
  </si>
  <si>
    <t>Créer des possibilités de nidification</t>
  </si>
  <si>
    <t>Nichoirs pour faucons crécerelles et effraies des clochers</t>
  </si>
  <si>
    <t xml:space="preserve">2 nichoirs à des emplacements appropriés </t>
  </si>
  <si>
    <t>Aides à la nidification pour hirondelles</t>
  </si>
  <si>
    <t>hirondelle rustique/hirondelle de fenêtre : 5 nids naturels ou artificiels</t>
  </si>
  <si>
    <t>Aides à la nidification pour martinets</t>
  </si>
  <si>
    <t xml:space="preserve">3 nichoirs à des emplacements appropriés </t>
  </si>
  <si>
    <t>Aides à la nidification pour oiseaux cavernicoles et semi-cavernicoles</t>
  </si>
  <si>
    <t>10 nichoirs pour différentes espèces</t>
  </si>
  <si>
    <t>Nichoirs à chauves-souris</t>
  </si>
  <si>
    <t>2 nichoirs à des emplacements appropriés</t>
  </si>
  <si>
    <t>Aides à la nidification pour abeilles sauvages</t>
  </si>
  <si>
    <t>Des éléments de 1 m², profondeur minimale de 15 cm</t>
  </si>
  <si>
    <t>Éléments structurels</t>
  </si>
  <si>
    <t>Pas de déchets (ferraille, palettes, gravats, etc.)</t>
  </si>
  <si>
    <t>Tas de bois, tas de planches</t>
  </si>
  <si>
    <t>3 stères (3 m³)</t>
  </si>
  <si>
    <t>Tas de pierres, tas de branches, tuiles empilées, tas de sable, souches</t>
  </si>
  <si>
    <t>abords de ferme grande : 5 éléments de 2 m², hauteur 
minimale de 50 cm; abords de ferme petite : 3 éléments
de 2 m², hauteur minimale de 50 cm</t>
  </si>
  <si>
    <t>Murs de pierres sèches, gabions recouverts de végétation</t>
  </si>
  <si>
    <t>5 mètres courants, hauteur minimale de 50 cm</t>
  </si>
  <si>
    <t>Milieux humides</t>
  </si>
  <si>
    <t>Points d’eau ouverts :  étangs, mares, flaques (eau régulièrement présente), fossés</t>
  </si>
  <si>
    <t>Fontaine de ferme (eau de source)</t>
  </si>
  <si>
    <t>1 fontaine dont l'eau coule en permanence</t>
  </si>
  <si>
    <t>Zones rudérales et mégaphorbiaies</t>
  </si>
  <si>
    <t>Mégaphorbiaies et surfaces rudérales sèches couvertes de végétation</t>
  </si>
  <si>
    <t>abords de ferme grande : 30 m² ; abords de ferme petite :
15 m²</t>
  </si>
  <si>
    <t>Gravier, sable, marne, glaise, pavés</t>
  </si>
  <si>
    <t>½ des abords de ferme au total</t>
  </si>
  <si>
    <t>Façades et toitures végétalisées et proches de l’état naturel</t>
  </si>
  <si>
    <t>Façades végétalisées</t>
  </si>
  <si>
    <t>10 m² au total</t>
  </si>
  <si>
    <t>20 m² au total</t>
  </si>
  <si>
    <t>Façades en bardeaux érodés</t>
  </si>
  <si>
    <t>Vieux murs en pierre brute avec des cavités</t>
  </si>
  <si>
    <t>Façades avec revêtement en bois</t>
  </si>
  <si>
    <t>Toits en pierre, toit de bardeaux, toits avec tuiles à emboîtement</t>
  </si>
  <si>
    <t>Toits végétalisés</t>
  </si>
  <si>
    <t>Éléments de jardin naturels aux abords de la ferme</t>
  </si>
  <si>
    <t>Vieux arbres</t>
  </si>
  <si>
    <t>2 arbres situés à 20 m max. des bâtiments de la ferme : diamètre du tronc de 30 cm au minimum</t>
  </si>
  <si>
    <t>Arbustes avec des baies</t>
  </si>
  <si>
    <t>4 arbustes indigènes</t>
  </si>
  <si>
    <t>Haies</t>
  </si>
  <si>
    <t>8 mètres courants, largeur minimale de la haie de 1 m</t>
  </si>
  <si>
    <t>Pergola avec vigne</t>
  </si>
  <si>
    <t>Minimum 10 m²</t>
  </si>
  <si>
    <t xml:space="preserve">Clôture en saule (vivant), clôture en bois </t>
  </si>
  <si>
    <t>10 mètres courants</t>
  </si>
  <si>
    <t>Cabane en branches de saules</t>
  </si>
  <si>
    <t>Jardins paysans variés</t>
  </si>
  <si>
    <t>Mélange des plantes utilitaires et ornementales</t>
  </si>
  <si>
    <t>Le nombre de points qui compte pour le système à points de la biodiversité IPS</t>
  </si>
  <si>
    <t>Conditions initiales remplies</t>
  </si>
  <si>
    <t>mesures remplies</t>
  </si>
  <si>
    <t>Cultures maraîchères de plein champ annuelles (545)</t>
  </si>
  <si>
    <t>Cultures maraîchères sous abri sans fondations permanentes, sur sol naturel (811)</t>
  </si>
  <si>
    <t>points</t>
  </si>
  <si>
    <t>1.5 pts</t>
  </si>
  <si>
    <t>2 pt</t>
  </si>
  <si>
    <t>C : mesures en cultures maraîchères</t>
  </si>
  <si>
    <t>CI : Surfaces de promotion de la biodiversité (SPB) &amp; promotion de la biodiversité fonctionnelle</t>
  </si>
  <si>
    <t>Diversité des types de SPB pluriannuelles des terres assolées</t>
  </si>
  <si>
    <t>% des cultures maraîchères (plain champ)</t>
  </si>
  <si>
    <t>proportion des cultures maraîchères dans SAU</t>
  </si>
  <si>
    <r>
      <t>Tous les types de SPB de qualité IPSUISSE sur les surfaces de cultures maraîchères (à l</t>
    </r>
    <r>
      <rPr>
        <b/>
        <sz val="11"/>
        <rFont val="Arial Narrow"/>
        <family val="2"/>
      </rPr>
      <t>'intérieur et à proximité [50 m]</t>
    </r>
    <r>
      <rPr>
        <sz val="11"/>
        <rFont val="Arial Narrow"/>
        <family val="2"/>
      </rPr>
      <t xml:space="preserve"> des cultures maraîchères) sont pris en compte (par type de SPB, au moins </t>
    </r>
    <r>
      <rPr>
        <b/>
        <sz val="11"/>
        <rFont val="Arial Narrow"/>
        <family val="2"/>
      </rPr>
      <t xml:space="preserve">10 % </t>
    </r>
    <r>
      <rPr>
        <sz val="11"/>
        <rFont val="Arial Narrow"/>
        <family val="2"/>
      </rPr>
      <t>de la surface totale des SPB pluriannuelles sur l'exploitation).</t>
    </r>
  </si>
  <si>
    <t xml:space="preserve">Bandes semées annuelles et pluriannuelles pour organismes utiles </t>
  </si>
  <si>
    <t>sur/près des parcelles de légumes</t>
  </si>
  <si>
    <t xml:space="preserve">Semis/plantation de plantes compagnes favorisant les insectes utiles </t>
  </si>
  <si>
    <r>
      <rPr>
        <b/>
        <sz val="11"/>
        <rFont val="Arial Narrow"/>
        <family val="2"/>
      </rPr>
      <t>(au moins 10 plantes/are)</t>
    </r>
    <r>
      <rPr>
        <sz val="11"/>
        <rFont val="Arial Narrow"/>
        <family val="2"/>
      </rPr>
      <t xml:space="preserve"> dans les cultures de choux</t>
    </r>
  </si>
  <si>
    <t xml:space="preserve"> allées engazonnées avec un mélange riche en espèces/fleuri </t>
  </si>
  <si>
    <t>&gt; proportion des allées engazonnées en % de toutes les allées</t>
  </si>
  <si>
    <t xml:space="preserve">Aménagement et entretien extensif de structures périphériques et </t>
  </si>
  <si>
    <t>de bandes transversales riches en espèces</t>
  </si>
  <si>
    <t>Côté longitudinal des surfaces de culture maraîchère ou bandes transversales à l'intérieur de la culture maraîchère imputables (largeur minimale : 3 m)</t>
  </si>
  <si>
    <t>Au moins 2 petites structures par 3a de structures périphériques</t>
  </si>
  <si>
    <t>La valeur dans C6 ne peut être indiquée que si le nombre minimum des petites structures est atteint.</t>
  </si>
  <si>
    <t>minimum des petites structures</t>
  </si>
  <si>
    <t>Culture intermédiaire fleurie en été</t>
  </si>
  <si>
    <t>Semis du mélange jusqu‘à fin juin au plus tard ; durée minimale : 8 semaines, ensemencement  jusqu'au 30. Juni</t>
  </si>
  <si>
    <t>Diversité de cultures maraîchères issues de différentes</t>
  </si>
  <si>
    <t>familles de plantes (botanique)</t>
  </si>
  <si>
    <t>pour ≤ 7 familles : au moins 8 % des cultures maraîchères, ou
4 % pour &gt; 7 familles (hors cultures sous abri)</t>
  </si>
  <si>
    <t>C II: Mesures dans et autour des cultures maraîchères sous abri</t>
  </si>
  <si>
    <t>Bandes semées pour organismes utiles et/ou plantes compagnes favorisant les auxiliaires dans les cultures sous abri</t>
  </si>
  <si>
    <t>favorisant les auxiliaires dans les cultures sous abri</t>
  </si>
  <si>
    <t>% des cultures maraîchères sous abri (811)</t>
  </si>
  <si>
    <t>Bandes de prairie riches en espèces le long des cultures maraîchères</t>
  </si>
  <si>
    <t>Ensemencement d‘un mélange pluriannuel riche en espèces le long de tunnels en plastique (largeur mind. 1 m; surface min. 1 a)</t>
  </si>
  <si>
    <t>C III: Production de légumes préservant les ressources</t>
  </si>
  <si>
    <t>Sous-semis dans les cultures maraîchères principales</t>
  </si>
  <si>
    <t>Renoncement total des herbicides dans les cultures maraîchères</t>
  </si>
  <si>
    <t>Surfaces sans insecticides ni acaricides chimiques de synthèse</t>
  </si>
  <si>
    <t>Renoncement des herbicides dans les cultures maraîchères</t>
  </si>
  <si>
    <t>quelles cultures ?</t>
  </si>
  <si>
    <t>Renoncement total d‘insecticides et d‘acaricides</t>
  </si>
  <si>
    <t>Renoncement total de fongicides</t>
  </si>
  <si>
    <t>Sous-total mesures de revalorisation de la culture maraîchère</t>
  </si>
  <si>
    <r>
      <t>Points pour cultures maraîchères</t>
    </r>
    <r>
      <rPr>
        <b/>
        <sz val="12"/>
        <rFont val="Arial Narrow"/>
        <family val="2"/>
      </rPr>
      <t xml:space="preserve"> (pondéré par culture maraîchère et la SAU)</t>
    </r>
  </si>
  <si>
    <t>D: mesures viticulture</t>
  </si>
  <si>
    <t>points ferme+:</t>
  </si>
  <si>
    <t>Points viticulture (pondérée) :</t>
  </si>
  <si>
    <t>Points cultures maraîchères (pondérée) :</t>
  </si>
  <si>
    <t>Surface viticole (701, 717, 737)</t>
  </si>
  <si>
    <t>proportion de la surface viticole</t>
  </si>
  <si>
    <t>Sous-total mesures de revalorisation de viticulture</t>
  </si>
  <si>
    <t>viticulture en SAU</t>
  </si>
  <si>
    <r>
      <t>Points pour viticulture</t>
    </r>
    <r>
      <rPr>
        <b/>
        <sz val="12"/>
        <rFont val="Arial Narrow"/>
        <family val="2"/>
      </rPr>
      <t xml:space="preserve"> (pondéré par viticulture et la SAU)</t>
    </r>
  </si>
  <si>
    <t>&gt;3–6 a</t>
  </si>
  <si>
    <t>&gt;6–9 a</t>
  </si>
  <si>
    <t>&gt;9 a</t>
  </si>
  <si>
    <t>3 a</t>
  </si>
  <si>
    <t>a</t>
  </si>
  <si>
    <t>&gt; 7</t>
  </si>
  <si>
    <t>families</t>
  </si>
  <si>
    <t>types</t>
  </si>
  <si>
    <t>unité</t>
  </si>
  <si>
    <t>© IP-Suisse &amp; Station ornithologique, 9. Sept. 2025</t>
  </si>
  <si>
    <t>ferme+</t>
  </si>
  <si>
    <t>maraîchère</t>
  </si>
  <si>
    <t>viticulture</t>
  </si>
  <si>
    <t>Non-recours aux herbicides dans la surface viticole</t>
  </si>
  <si>
    <t>selon OPD</t>
  </si>
  <si>
    <t xml:space="preserve">Couverture appropriée du sol en viticulture </t>
  </si>
  <si>
    <t>Non-recours aux insecticides, acaricides et</t>
  </si>
  <si>
    <t>fongicides après la floraison dans la surface viticole selon OPD</t>
  </si>
  <si>
    <t xml:space="preserve">Exploitation de la surface viticole à l’aide d’intrants </t>
  </si>
  <si>
    <t>conformes à l’agriculture biologique selon OPD</t>
  </si>
  <si>
    <t>Cépages robustes</t>
  </si>
  <si>
    <t>Surfaces viticoles présentant entre ⅓ et ⅔ de sol nu</t>
  </si>
  <si>
    <t>© IP-Suisse &amp; Station ornithologique, 18. Sept. 2025</t>
  </si>
  <si>
    <t>ungenutze Leerzeile, damit Zeilenzahl mit Version "Gemüse" übereinstimmt</t>
  </si>
  <si>
    <t>traitement en bande ou pulvérisation ciblée autorisée
% des cultures maraîchères (plain champ)</t>
  </si>
  <si>
    <t>autres surfaces (surfaces à litière, cultures pérennes etc.)</t>
  </si>
  <si>
    <t>© IP-Suisse &amp; Station ornithologique, 22. Sept. 2025</t>
  </si>
  <si>
    <t>17.1</t>
  </si>
  <si>
    <t>17.2</t>
  </si>
  <si>
    <t>17.3</t>
  </si>
  <si>
    <t>17.4</t>
  </si>
  <si>
    <t>17.5</t>
  </si>
  <si>
    <t>17.6</t>
  </si>
  <si>
    <t>17.7</t>
  </si>
  <si>
    <t>17.8</t>
  </si>
  <si>
    <t>17.9</t>
  </si>
  <si>
    <t>17.10</t>
  </si>
  <si>
    <t>17.11</t>
  </si>
  <si>
    <t>17.12</t>
  </si>
  <si>
    <t>17.13</t>
  </si>
  <si>
    <t>17.14</t>
  </si>
  <si>
    <t>17.15</t>
  </si>
  <si>
    <t>17.16</t>
  </si>
  <si>
    <t>17.17</t>
  </si>
  <si>
    <t>18.1</t>
  </si>
  <si>
    <t>18.2</t>
  </si>
  <si>
    <t>18.3</t>
  </si>
  <si>
    <t>18.4</t>
  </si>
  <si>
    <t>18.5</t>
  </si>
  <si>
    <t>18.6</t>
  </si>
  <si>
    <t>Revalorisation des surfaces issues de la mesure 17.5 avec de petites structures</t>
  </si>
  <si>
    <t xml:space="preserve">Revalorisation des surfaces issues de la mesure 17.10 avec des petites structures	</t>
  </si>
  <si>
    <t>Mesures</t>
  </si>
  <si>
    <t>Kontrollfeld (muss überall WAHR sein)</t>
  </si>
  <si>
    <t>prairies riveraines (835)</t>
  </si>
  <si>
    <t>© IP-Suisse &amp; Station ornithologique, 7. janvier 2026</t>
  </si>
  <si>
    <t>de production végétale en ZM I-IV</t>
  </si>
  <si>
    <t>Production végétale en ZM I-IV</t>
  </si>
  <si>
    <r>
      <t xml:space="preserve">version 2026 </t>
    </r>
    <r>
      <rPr>
        <b/>
        <sz val="10"/>
        <color theme="0" tint="-0.499984740745262"/>
        <rFont val="Arial Narrow"/>
        <family val="2"/>
      </rPr>
      <t>– 2.1</t>
    </r>
  </si>
  <si>
    <r>
      <t>version 2026</t>
    </r>
    <r>
      <rPr>
        <b/>
        <sz val="10"/>
        <color theme="0" tint="-0.499984740745262"/>
        <rFont val="Arial Narrow"/>
        <family val="2"/>
      </rPr>
      <t xml:space="preserve"> – 2.1</t>
    </r>
  </si>
  <si>
    <t>'10.10</t>
  </si>
  <si>
    <t>© IP-Suisse &amp; Station ornithologique, 30. mars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</si>
</sst>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0.0"/>
    <numFmt numFmtId="165" formatCode="0.0%"/>
    <numFmt numFmtId="166" formatCode="0.00\ &quot;ha&quot;"/>
    <numFmt numFmtId="167" formatCode="&quot;(&quot;0.00&quot;)&quot;"/>
    <numFmt numFmtId="168" formatCode="&quot;-&gt; &quot;0.0&quot;% der Rebfläche&quot;"/>
    <numFmt numFmtId="169" formatCode="&quot;-&gt; &quot;0.0&quot;% de la surface viticole&quot;"/>
    <numFmt numFmtId="170" formatCode="&quot;(&quot;0&quot;)&quot;"/>
    <numFmt numFmtId="171" formatCode="0\ &quot;Typ(en)&quot;"/>
    <numFmt numFmtId="173" formatCode="0\ &quot; von 3&quot;"/>
    <numFmt numFmtId="174" formatCode="0\ &quot;familles&quot;"/>
  </numFmts>
  <fonts count="65">
    <font>
      <sz val="10"/>
      <name val="Arial"/>
    </font>
    <font>
      <sz val="10"/>
      <name val="Arial"/>
      <family val="2"/>
    </font>
    <font>
      <sz val="11"/>
      <name val="ZapfDingbats"/>
      <family val="5"/>
      <charset val="2"/>
    </font>
    <font>
      <sz val="11"/>
      <name val="Arial Narrow"/>
      <family val="2"/>
    </font>
    <font>
      <sz val="10"/>
      <name val="Arial Narrow"/>
      <family val="2"/>
    </font>
    <font>
      <b/>
      <sz val="10"/>
      <name val="Arial Narrow"/>
      <family val="2"/>
    </font>
    <font>
      <b/>
      <sz val="14"/>
      <name val="Arial Narrow"/>
      <family val="2"/>
    </font>
    <font>
      <b/>
      <sz val="12"/>
      <color indexed="10"/>
      <name val="Arial Narrow"/>
      <family val="2"/>
    </font>
    <font>
      <b/>
      <sz val="11"/>
      <name val="Arial Narrow"/>
      <family val="2"/>
    </font>
    <font>
      <b/>
      <sz val="11"/>
      <color indexed="10"/>
      <name val="Arial Narrow"/>
      <family val="2"/>
    </font>
    <font>
      <b/>
      <sz val="10"/>
      <color indexed="10"/>
      <name val="Arial Narrow"/>
      <family val="2"/>
    </font>
    <font>
      <sz val="11"/>
      <color indexed="8"/>
      <name val="Arial Narrow"/>
      <family val="2"/>
    </font>
    <font>
      <sz val="10"/>
      <color indexed="10"/>
      <name val="Arial Narrow"/>
      <family val="2"/>
    </font>
    <font>
      <b/>
      <sz val="12"/>
      <name val="Arial Narrow"/>
      <family val="2"/>
    </font>
    <font>
      <sz val="8"/>
      <name val="Arial Narrow"/>
      <family val="2"/>
    </font>
    <font>
      <sz val="11"/>
      <color indexed="9"/>
      <name val="Arial Narrow"/>
      <family val="2"/>
    </font>
    <font>
      <b/>
      <sz val="10"/>
      <color indexed="9"/>
      <name val="Arial Narrow"/>
      <family val="2"/>
    </font>
    <font>
      <sz val="10"/>
      <color indexed="9"/>
      <name val="Arial Narrow"/>
      <family val="2"/>
    </font>
    <font>
      <sz val="11"/>
      <color indexed="10"/>
      <name val="Arial Narrow"/>
      <family val="2"/>
    </font>
    <font>
      <b/>
      <sz val="11"/>
      <color indexed="8"/>
      <name val="Arial Narrow"/>
      <family val="2"/>
    </font>
    <font>
      <b/>
      <sz val="10"/>
      <color indexed="53"/>
      <name val="Arial"/>
      <family val="2"/>
    </font>
    <font>
      <sz val="10"/>
      <color indexed="22"/>
      <name val="Arial Narrow"/>
      <family val="2"/>
    </font>
    <font>
      <b/>
      <sz val="12"/>
      <color indexed="81"/>
      <name val="Tahoma"/>
      <family val="2"/>
    </font>
    <font>
      <b/>
      <sz val="10"/>
      <color indexed="81"/>
      <name val="Tahoma"/>
      <family val="2"/>
    </font>
    <font>
      <sz val="8"/>
      <color rgb="FF000000"/>
      <name val="Tahoma"/>
      <family val="2"/>
    </font>
    <font>
      <sz val="9"/>
      <color indexed="81"/>
      <name val="Segoe UI"/>
      <family val="2"/>
    </font>
    <font>
      <b/>
      <sz val="9"/>
      <color indexed="81"/>
      <name val="Segoe UI"/>
      <family val="2"/>
    </font>
    <font>
      <sz val="11"/>
      <color rgb="FFFF0000"/>
      <name val="Arial Narrow"/>
      <family val="2"/>
    </font>
    <font>
      <sz val="11"/>
      <color theme="0"/>
      <name val="Arial Narrow"/>
      <family val="2"/>
    </font>
    <font>
      <sz val="10"/>
      <color rgb="FF333333"/>
      <name val="Segoe UI"/>
      <family val="2"/>
    </font>
    <font>
      <b/>
      <sz val="11"/>
      <color rgb="FFFF0000"/>
      <name val="Arial Narrow"/>
      <family val="2"/>
    </font>
    <font>
      <sz val="8"/>
      <color theme="1"/>
      <name val="Arial Narrow"/>
      <family val="2"/>
    </font>
    <font>
      <sz val="10"/>
      <color rgb="FFFF0000"/>
      <name val="Arial Narrow"/>
      <family val="2"/>
    </font>
    <font>
      <b/>
      <sz val="10"/>
      <color rgb="FFFF0000"/>
      <name val="Arial Narrow"/>
      <family val="2"/>
    </font>
    <font>
      <sz val="11"/>
      <color theme="1"/>
      <name val="Arial Narrow"/>
      <family val="2"/>
    </font>
    <font>
      <sz val="11"/>
      <color theme="1"/>
      <name val="Calibri"/>
      <family val="2"/>
      <scheme val="minor"/>
    </font>
    <font>
      <b/>
      <sz val="14"/>
      <color theme="1"/>
      <name val="Arial Narrow"/>
      <family val="2"/>
    </font>
    <font>
      <b/>
      <sz val="11"/>
      <color theme="1"/>
      <name val="Arial Narrow"/>
      <family val="2"/>
    </font>
    <font>
      <sz val="11"/>
      <color rgb="FF006100"/>
      <name val="Calibri"/>
      <family val="2"/>
      <scheme val="minor"/>
    </font>
    <font>
      <sz val="11"/>
      <color rgb="FF9C6500"/>
      <name val="Calibri"/>
      <family val="2"/>
      <scheme val="minor"/>
    </font>
    <font>
      <sz val="10"/>
      <name val="Arial"/>
      <family val="2"/>
    </font>
    <font>
      <b/>
      <sz val="14"/>
      <color rgb="FFFF0000"/>
      <name val="Arial Narrow"/>
      <family val="2"/>
    </font>
    <font>
      <sz val="14"/>
      <color rgb="FFFF0000"/>
      <name val="Arial Narrow"/>
      <family val="2"/>
    </font>
    <font>
      <b/>
      <sz val="9"/>
      <color theme="1"/>
      <name val="Arial Narrow"/>
      <family val="2"/>
    </font>
    <font>
      <b/>
      <sz val="9"/>
      <name val="Arial Narrow"/>
      <family val="2"/>
    </font>
    <font>
      <sz val="9"/>
      <color theme="1"/>
      <name val="Arial Narrow"/>
      <family val="2"/>
    </font>
    <font>
      <b/>
      <sz val="12"/>
      <color theme="1"/>
      <name val="Arial Narrow"/>
      <family val="2"/>
    </font>
    <font>
      <sz val="12"/>
      <color theme="1"/>
      <name val="Arial Narrow"/>
      <family val="2"/>
    </font>
    <font>
      <i/>
      <sz val="11"/>
      <color rgb="FFFF0000"/>
      <name val="Arial Narrow"/>
      <family val="2"/>
    </font>
    <font>
      <sz val="11"/>
      <color theme="3" tint="0.39997558519241921"/>
      <name val="Arial Narrow"/>
      <family val="2"/>
    </font>
    <font>
      <sz val="10"/>
      <color rgb="FFFF0000"/>
      <name val="Arial"/>
      <family val="2"/>
    </font>
    <font>
      <sz val="11"/>
      <color indexed="9"/>
      <name val="ZapfDingbats"/>
      <family val="5"/>
      <charset val="2"/>
    </font>
    <font>
      <sz val="10"/>
      <color theme="0"/>
      <name val="Arial Narrow"/>
      <family val="2"/>
    </font>
    <font>
      <sz val="12"/>
      <name val="Arial Narrow"/>
      <family val="2"/>
    </font>
    <font>
      <sz val="9"/>
      <name val="Calibri"/>
      <family val="2"/>
      <scheme val="minor"/>
    </font>
    <font>
      <sz val="14"/>
      <name val="Arial Narrow"/>
      <family val="2"/>
    </font>
    <font>
      <b/>
      <sz val="12"/>
      <color rgb="FFFF0000"/>
      <name val="Arial Narrow"/>
      <family val="2"/>
    </font>
    <font>
      <sz val="14"/>
      <name val="Arial"/>
      <family val="2"/>
    </font>
    <font>
      <b/>
      <i/>
      <sz val="11"/>
      <color theme="1"/>
      <name val="Arial Narrow"/>
      <family val="2"/>
    </font>
    <font>
      <sz val="9"/>
      <name val="Arial Narrow"/>
      <family val="2"/>
    </font>
    <font>
      <sz val="16"/>
      <name val="Arial Narrow"/>
      <family val="2"/>
    </font>
    <font>
      <sz val="16"/>
      <name val="Arial"/>
      <family val="2"/>
    </font>
    <font>
      <b/>
      <sz val="16"/>
      <name val="Arial Narrow"/>
      <family val="2"/>
    </font>
    <font>
      <sz val="10"/>
      <color theme="6" tint="0.59999389629810485"/>
      <name val="Arial Narrow"/>
      <family val="2"/>
    </font>
    <font>
      <b/>
      <sz val="10"/>
      <color theme="0" tint="-0.499984740745262"/>
      <name val="Arial Narrow"/>
      <family val="2"/>
    </font>
  </fonts>
  <fills count="24">
    <fill>
      <patternFill patternType="none"/>
    </fill>
    <fill>
      <patternFill patternType="gray125"/>
    </fill>
    <fill>
      <patternFill patternType="solid">
        <fgColor indexed="43"/>
        <bgColor indexed="64"/>
      </patternFill>
    </fill>
    <fill>
      <patternFill patternType="solid">
        <fgColor indexed="52"/>
        <bgColor indexed="64"/>
      </patternFill>
    </fill>
    <fill>
      <patternFill patternType="solid">
        <fgColor indexed="51"/>
        <bgColor indexed="64"/>
      </patternFill>
    </fill>
    <fill>
      <patternFill patternType="solid">
        <fgColor indexed="42"/>
        <bgColor indexed="64"/>
      </patternFill>
    </fill>
    <fill>
      <patternFill patternType="solid">
        <fgColor indexed="47"/>
        <bgColor indexed="64"/>
      </patternFill>
    </fill>
    <fill>
      <patternFill patternType="solid">
        <fgColor indexed="13"/>
        <bgColor indexed="64"/>
      </patternFill>
    </fill>
    <fill>
      <patternFill patternType="solid">
        <fgColor indexed="22"/>
        <bgColor indexed="64"/>
      </patternFill>
    </fill>
    <fill>
      <patternFill patternType="solid">
        <fgColor rgb="FFC6EFCE"/>
      </patternFill>
    </fill>
    <fill>
      <patternFill patternType="solid">
        <fgColor rgb="FFFFEB9C"/>
      </patternFill>
    </fill>
    <fill>
      <patternFill patternType="solid">
        <fgColor theme="0" tint="-4.9989318521683403E-2"/>
        <bgColor indexed="64"/>
      </patternFill>
    </fill>
    <fill>
      <patternFill patternType="solid">
        <fgColor theme="0" tint="-0.249977111117893"/>
        <bgColor indexed="64"/>
      </patternFill>
    </fill>
    <fill>
      <patternFill patternType="solid">
        <fgColor theme="0"/>
        <bgColor indexed="64"/>
      </patternFill>
    </fill>
    <fill>
      <patternFill patternType="solid">
        <fgColor rgb="FFFF9900"/>
        <bgColor indexed="64"/>
      </patternFill>
    </fill>
    <fill>
      <patternFill patternType="solid">
        <fgColor rgb="FFFFCC00"/>
        <bgColor indexed="64"/>
      </patternFill>
    </fill>
    <fill>
      <patternFill patternType="solid">
        <fgColor rgb="FFCCFFCC"/>
        <bgColor indexed="64"/>
      </patternFill>
    </fill>
    <fill>
      <patternFill patternType="solid">
        <fgColor rgb="FFFFFF99"/>
        <bgColor indexed="64"/>
      </patternFill>
    </fill>
    <fill>
      <patternFill patternType="solid">
        <fgColor theme="8" tint="0.59999389629810485"/>
        <bgColor indexed="64"/>
      </patternFill>
    </fill>
    <fill>
      <patternFill patternType="solid">
        <fgColor rgb="FFFFC000"/>
        <bgColor indexed="64"/>
      </patternFill>
    </fill>
    <fill>
      <patternFill patternType="solid">
        <fgColor theme="8" tint="0.79998168889431442"/>
        <bgColor indexed="64"/>
      </patternFill>
    </fill>
    <fill>
      <patternFill patternType="solid">
        <fgColor theme="6" tint="0.39997558519241921"/>
        <bgColor indexed="64"/>
      </patternFill>
    </fill>
    <fill>
      <patternFill patternType="solid">
        <fgColor theme="6" tint="0.79998168889431442"/>
        <bgColor indexed="64"/>
      </patternFill>
    </fill>
    <fill>
      <patternFill patternType="solid">
        <fgColor rgb="FF92D050"/>
        <bgColor indexed="64"/>
      </patternFill>
    </fill>
  </fills>
  <borders count="1">
    <border>
      <left/>
      <right/>
      <top/>
      <bottom/>
      <diagonal/>
    </border>
  </borders>
  <cellStyleXfs count="9">
    <xf numFmtId="0" fontId="0" fillId="0" borderId="0"/>
    <xf numFmtId="0" fontId="10" fillId="0" borderId="0">
      <alignment horizontal="left"/>
      <protection hidden="1"/>
    </xf>
    <xf numFmtId="166" fontId="3" fillId="2" borderId="0">
      <protection locked="0" hidden="1"/>
    </xf>
    <xf numFmtId="1" fontId="3" fillId="2" borderId="0">
      <protection locked="0" hidden="1"/>
    </xf>
    <xf numFmtId="0" fontId="35" fillId="0" borderId="0"/>
    <xf numFmtId="0" fontId="38" fillId="9" borderId="0" applyNumberFormat="0" applyBorder="0" applyAlignment="0" applyProtection="0"/>
    <xf numFmtId="0" fontId="39" fillId="10" borderId="0" applyNumberFormat="0" applyBorder="0" applyAlignment="0" applyProtection="0"/>
    <xf numFmtId="9" fontId="40" fillId="0" borderId="0" applyFont="0" applyFill="0" applyBorder="0" applyAlignment="0" applyProtection="0"/>
    <xf numFmtId="0" fontId="1" fillId="0" borderId="0"/>
  </cellStyleXfs>
  <cellXfs count="518">
    <xf numFmtId="0" fontId="0" fillId="0" borderId="0" xfId="0"/>
    <xf numFmtId="0" fontId="1" fillId="0" borderId="0" xfId="0" applyFont="1"/>
    <xf numFmtId="166" fontId="3" fillId="2" borderId="0" xfId="2">
      <protection locked="0" hidden="1"/>
    </xf>
    <xf numFmtId="166" fontId="3" fillId="0" borderId="0" xfId="2" applyFill="1" applyProtection="1">
      <protection hidden="1"/>
    </xf>
    <xf numFmtId="0" fontId="4" fillId="0" borderId="0" xfId="8" applyFont="1" applyProtection="1">
      <protection hidden="1"/>
    </xf>
    <xf numFmtId="0" fontId="4" fillId="4" borderId="0" xfId="8" applyFont="1" applyFill="1" applyProtection="1">
      <protection hidden="1"/>
    </xf>
    <xf numFmtId="0" fontId="4" fillId="3" borderId="0" xfId="8" applyFont="1" applyFill="1" applyProtection="1">
      <protection hidden="1"/>
    </xf>
    <xf numFmtId="0" fontId="4" fillId="3" borderId="0" xfId="8" applyFont="1" applyFill="1" applyAlignment="1" applyProtection="1">
      <alignment horizontal="center"/>
      <protection hidden="1"/>
    </xf>
    <xf numFmtId="0" fontId="3" fillId="0" borderId="0" xfId="8" applyFont="1" applyAlignment="1" applyProtection="1">
      <alignment horizontal="center"/>
      <protection hidden="1"/>
    </xf>
    <xf numFmtId="0" fontId="4" fillId="0" borderId="0" xfId="8" applyFont="1" applyAlignment="1" applyProtection="1">
      <alignment horizontal="center"/>
      <protection hidden="1"/>
    </xf>
    <xf numFmtId="0" fontId="1" fillId="0" borderId="0" xfId="8" applyAlignment="1" applyProtection="1">
      <alignment horizontal="center"/>
      <protection hidden="1"/>
    </xf>
    <xf numFmtId="0" fontId="14" fillId="0" borderId="0" xfId="8" applyFont="1" applyAlignment="1" applyProtection="1">
      <alignment horizontal="left"/>
      <protection hidden="1"/>
    </xf>
    <xf numFmtId="0" fontId="4" fillId="0" borderId="0" xfId="8" applyFont="1" applyAlignment="1" applyProtection="1">
      <alignment horizontal="left"/>
      <protection hidden="1"/>
    </xf>
    <xf numFmtId="0" fontId="5" fillId="0" borderId="0" xfId="8" applyFont="1" applyProtection="1">
      <protection hidden="1"/>
    </xf>
    <xf numFmtId="0" fontId="3" fillId="0" borderId="0" xfId="8" applyFont="1" applyProtection="1">
      <protection hidden="1"/>
    </xf>
    <xf numFmtId="0" fontId="3" fillId="4" borderId="0" xfId="8" applyFont="1" applyFill="1" applyProtection="1">
      <protection hidden="1"/>
    </xf>
    <xf numFmtId="0" fontId="3" fillId="3" borderId="0" xfId="8" applyFont="1" applyFill="1" applyProtection="1">
      <protection hidden="1"/>
    </xf>
    <xf numFmtId="0" fontId="3" fillId="3" borderId="0" xfId="8" applyFont="1" applyFill="1" applyAlignment="1" applyProtection="1">
      <alignment horizontal="center"/>
      <protection hidden="1"/>
    </xf>
    <xf numFmtId="0" fontId="3" fillId="8" borderId="0" xfId="8" applyFont="1" applyFill="1" applyAlignment="1" applyProtection="1">
      <alignment horizontal="center"/>
      <protection hidden="1"/>
    </xf>
    <xf numFmtId="0" fontId="4" fillId="8" borderId="0" xfId="8" applyFont="1" applyFill="1" applyAlignment="1" applyProtection="1">
      <alignment horizontal="center"/>
      <protection hidden="1"/>
    </xf>
    <xf numFmtId="0" fontId="4" fillId="5" borderId="0" xfId="8" applyFont="1" applyFill="1" applyProtection="1">
      <protection hidden="1"/>
    </xf>
    <xf numFmtId="0" fontId="3" fillId="5" borderId="0" xfId="8" applyFont="1" applyFill="1" applyAlignment="1" applyProtection="1">
      <alignment horizontal="center"/>
      <protection hidden="1"/>
    </xf>
    <xf numFmtId="0" fontId="5" fillId="5" borderId="0" xfId="8" applyFont="1" applyFill="1" applyAlignment="1" applyProtection="1">
      <alignment horizontal="left"/>
      <protection hidden="1"/>
    </xf>
    <xf numFmtId="2" fontId="7" fillId="5" borderId="0" xfId="8" applyNumberFormat="1" applyFont="1" applyFill="1" applyAlignment="1" applyProtection="1">
      <alignment horizontal="center"/>
      <protection hidden="1"/>
    </xf>
    <xf numFmtId="0" fontId="7" fillId="5" borderId="0" xfId="8" applyFont="1" applyFill="1" applyProtection="1">
      <protection hidden="1"/>
    </xf>
    <xf numFmtId="0" fontId="3" fillId="8" borderId="0" xfId="8" applyFont="1" applyFill="1" applyProtection="1">
      <protection hidden="1"/>
    </xf>
    <xf numFmtId="2" fontId="3" fillId="0" borderId="0" xfId="8" applyNumberFormat="1" applyFont="1" applyProtection="1">
      <protection hidden="1"/>
    </xf>
    <xf numFmtId="0" fontId="4" fillId="8" borderId="0" xfId="8" applyFont="1" applyFill="1" applyProtection="1">
      <protection hidden="1"/>
    </xf>
    <xf numFmtId="0" fontId="8" fillId="3" borderId="0" xfId="8" applyFont="1" applyFill="1" applyProtection="1">
      <protection hidden="1"/>
    </xf>
    <xf numFmtId="0" fontId="8" fillId="8" borderId="0" xfId="8" applyFont="1" applyFill="1" applyProtection="1">
      <protection hidden="1"/>
    </xf>
    <xf numFmtId="0" fontId="5" fillId="8" borderId="0" xfId="8" applyFont="1" applyFill="1" applyProtection="1">
      <protection hidden="1"/>
    </xf>
    <xf numFmtId="0" fontId="8" fillId="0" borderId="0" xfId="8" applyFont="1" applyAlignment="1" applyProtection="1">
      <alignment horizontal="center"/>
      <protection hidden="1"/>
    </xf>
    <xf numFmtId="0" fontId="8" fillId="0" borderId="0" xfId="8" applyFont="1" applyProtection="1">
      <protection hidden="1"/>
    </xf>
    <xf numFmtId="0" fontId="4" fillId="8" borderId="0" xfId="8" quotePrefix="1" applyFont="1" applyFill="1" applyAlignment="1" applyProtection="1">
      <alignment horizontal="center"/>
      <protection hidden="1"/>
    </xf>
    <xf numFmtId="2" fontId="9" fillId="0" borderId="0" xfId="8" applyNumberFormat="1" applyFont="1" applyAlignment="1" applyProtection="1">
      <alignment horizontal="center"/>
      <protection hidden="1"/>
    </xf>
    <xf numFmtId="1" fontId="3" fillId="2" borderId="0" xfId="8" applyNumberFormat="1" applyFont="1" applyFill="1" applyProtection="1">
      <protection locked="0" hidden="1"/>
    </xf>
    <xf numFmtId="2" fontId="4" fillId="0" borderId="0" xfId="8" applyNumberFormat="1" applyFont="1" applyAlignment="1" applyProtection="1">
      <alignment horizontal="center"/>
      <protection hidden="1"/>
    </xf>
    <xf numFmtId="0" fontId="3" fillId="0" borderId="0" xfId="8" applyFont="1" applyAlignment="1" applyProtection="1">
      <alignment horizontal="left"/>
      <protection hidden="1"/>
    </xf>
    <xf numFmtId="0" fontId="3" fillId="2" borderId="0" xfId="8" applyFont="1" applyFill="1" applyProtection="1">
      <protection locked="0" hidden="1"/>
    </xf>
    <xf numFmtId="164" fontId="3" fillId="4" borderId="0" xfId="8" applyNumberFormat="1" applyFont="1" applyFill="1" applyProtection="1">
      <protection hidden="1"/>
    </xf>
    <xf numFmtId="164" fontId="3" fillId="3" borderId="0" xfId="8" applyNumberFormat="1" applyFont="1" applyFill="1" applyProtection="1">
      <protection hidden="1"/>
    </xf>
    <xf numFmtId="0" fontId="3" fillId="3" borderId="0" xfId="8" applyFont="1" applyFill="1" applyAlignment="1" applyProtection="1">
      <alignment horizontal="right"/>
      <protection hidden="1"/>
    </xf>
    <xf numFmtId="2" fontId="3" fillId="0" borderId="0" xfId="8" applyNumberFormat="1" applyFont="1" applyAlignment="1" applyProtection="1">
      <alignment horizontal="center"/>
      <protection hidden="1"/>
    </xf>
    <xf numFmtId="164" fontId="3" fillId="0" borderId="0" xfId="8" applyNumberFormat="1" applyFont="1" applyProtection="1">
      <protection hidden="1"/>
    </xf>
    <xf numFmtId="1" fontId="3" fillId="3" borderId="0" xfId="8" applyNumberFormat="1" applyFont="1" applyFill="1" applyProtection="1">
      <protection hidden="1"/>
    </xf>
    <xf numFmtId="164" fontId="11" fillId="4" borderId="0" xfId="8" applyNumberFormat="1" applyFont="1" applyFill="1" applyProtection="1">
      <protection hidden="1"/>
    </xf>
    <xf numFmtId="0" fontId="28" fillId="0" borderId="0" xfId="8" applyFont="1" applyProtection="1">
      <protection locked="0" hidden="1"/>
    </xf>
    <xf numFmtId="0" fontId="2" fillId="0" borderId="0" xfId="8" applyFont="1" applyAlignment="1" applyProtection="1">
      <alignment horizontal="right"/>
      <protection hidden="1"/>
    </xf>
    <xf numFmtId="1" fontId="28" fillId="0" borderId="0" xfId="8" applyNumberFormat="1" applyFont="1" applyProtection="1">
      <protection hidden="1"/>
    </xf>
    <xf numFmtId="0" fontId="3" fillId="0" borderId="0" xfId="8" applyFont="1" applyAlignment="1" applyProtection="1">
      <alignment horizontal="right"/>
      <protection hidden="1"/>
    </xf>
    <xf numFmtId="9" fontId="3" fillId="3" borderId="0" xfId="8" applyNumberFormat="1" applyFont="1" applyFill="1" applyProtection="1">
      <protection hidden="1"/>
    </xf>
    <xf numFmtId="0" fontId="1" fillId="0" borderId="0" xfId="8" applyProtection="1">
      <protection hidden="1"/>
    </xf>
    <xf numFmtId="165" fontId="3" fillId="0" borderId="0" xfId="8" applyNumberFormat="1" applyFont="1" applyProtection="1">
      <protection hidden="1"/>
    </xf>
    <xf numFmtId="164" fontId="9" fillId="0" borderId="0" xfId="8" applyNumberFormat="1" applyFont="1" applyAlignment="1" applyProtection="1">
      <alignment horizontal="center"/>
      <protection hidden="1"/>
    </xf>
    <xf numFmtId="0" fontId="5" fillId="5" borderId="0" xfId="8" applyFont="1" applyFill="1" applyAlignment="1" applyProtection="1">
      <alignment horizontal="center"/>
      <protection hidden="1"/>
    </xf>
    <xf numFmtId="0" fontId="11" fillId="4" borderId="0" xfId="8" applyFont="1" applyFill="1" applyProtection="1">
      <protection hidden="1"/>
    </xf>
    <xf numFmtId="165" fontId="3" fillId="3" borderId="0" xfId="8" applyNumberFormat="1" applyFont="1" applyFill="1" applyProtection="1">
      <protection hidden="1"/>
    </xf>
    <xf numFmtId="0" fontId="18" fillId="8" borderId="0" xfId="8" applyFont="1" applyFill="1" applyProtection="1">
      <protection hidden="1"/>
    </xf>
    <xf numFmtId="2" fontId="8" fillId="0" borderId="0" xfId="8" applyNumberFormat="1" applyFont="1" applyAlignment="1" applyProtection="1">
      <alignment horizontal="center"/>
      <protection hidden="1"/>
    </xf>
    <xf numFmtId="0" fontId="11" fillId="3" borderId="0" xfId="8" applyFont="1" applyFill="1" applyProtection="1">
      <protection hidden="1"/>
    </xf>
    <xf numFmtId="0" fontId="11" fillId="3" borderId="0" xfId="8" applyFont="1" applyFill="1" applyAlignment="1" applyProtection="1">
      <alignment horizontal="center"/>
      <protection hidden="1"/>
    </xf>
    <xf numFmtId="0" fontId="9" fillId="3" borderId="0" xfId="8" applyFont="1" applyFill="1" applyAlignment="1" applyProtection="1">
      <alignment horizontal="center"/>
      <protection hidden="1"/>
    </xf>
    <xf numFmtId="0" fontId="8" fillId="3" borderId="0" xfId="8" applyFont="1" applyFill="1" applyAlignment="1" applyProtection="1">
      <alignment horizontal="center"/>
      <protection hidden="1"/>
    </xf>
    <xf numFmtId="166" fontId="3" fillId="2" borderId="0" xfId="2" applyProtection="1">
      <protection hidden="1"/>
    </xf>
    <xf numFmtId="166" fontId="3" fillId="2" borderId="0" xfId="8" applyNumberFormat="1" applyFont="1" applyFill="1" applyProtection="1">
      <protection locked="0" hidden="1"/>
    </xf>
    <xf numFmtId="14" fontId="14" fillId="0" borderId="0" xfId="8" quotePrefix="1" applyNumberFormat="1" applyFont="1" applyAlignment="1" applyProtection="1">
      <alignment horizontal="left"/>
      <protection hidden="1"/>
    </xf>
    <xf numFmtId="0" fontId="4" fillId="5" borderId="0" xfId="8" applyFont="1" applyFill="1" applyAlignment="1" applyProtection="1">
      <alignment horizontal="center"/>
      <protection hidden="1"/>
    </xf>
    <xf numFmtId="0" fontId="13" fillId="5" borderId="0" xfId="8" applyFont="1" applyFill="1" applyAlignment="1" applyProtection="1">
      <alignment horizontal="right"/>
      <protection hidden="1"/>
    </xf>
    <xf numFmtId="0" fontId="14" fillId="0" borderId="0" xfId="8" quotePrefix="1" applyFont="1" applyAlignment="1" applyProtection="1">
      <alignment horizontal="left"/>
      <protection hidden="1"/>
    </xf>
    <xf numFmtId="16" fontId="4" fillId="8" borderId="0" xfId="8" quotePrefix="1" applyNumberFormat="1" applyFont="1" applyFill="1" applyAlignment="1" applyProtection="1">
      <alignment horizontal="center"/>
      <protection hidden="1"/>
    </xf>
    <xf numFmtId="0" fontId="27" fillId="0" borderId="0" xfId="8" applyFont="1" applyProtection="1">
      <protection hidden="1"/>
    </xf>
    <xf numFmtId="0" fontId="5" fillId="5" borderId="0" xfId="8" applyFont="1" applyFill="1" applyProtection="1">
      <protection hidden="1"/>
    </xf>
    <xf numFmtId="0" fontId="5" fillId="8" borderId="0" xfId="8" applyFont="1" applyFill="1" applyAlignment="1" applyProtection="1">
      <alignment horizontal="center"/>
      <protection hidden="1"/>
    </xf>
    <xf numFmtId="0" fontId="9" fillId="0" borderId="0" xfId="8" applyFont="1" applyAlignment="1" applyProtection="1">
      <alignment horizontal="center"/>
      <protection hidden="1"/>
    </xf>
    <xf numFmtId="1" fontId="3" fillId="2" borderId="0" xfId="3">
      <protection locked="0" hidden="1"/>
    </xf>
    <xf numFmtId="0" fontId="8" fillId="0" borderId="0" xfId="8" applyFont="1" applyAlignment="1" applyProtection="1">
      <alignment horizontal="left"/>
      <protection hidden="1"/>
    </xf>
    <xf numFmtId="166" fontId="3" fillId="0" borderId="0" xfId="8" applyNumberFormat="1" applyFont="1" applyProtection="1">
      <protection hidden="1"/>
    </xf>
    <xf numFmtId="0" fontId="5" fillId="3" borderId="0" xfId="8" applyFont="1" applyFill="1" applyAlignment="1" applyProtection="1">
      <alignment horizontal="center"/>
      <protection hidden="1"/>
    </xf>
    <xf numFmtId="0" fontId="5" fillId="4" borderId="0" xfId="8" applyFont="1" applyFill="1" applyProtection="1">
      <protection hidden="1"/>
    </xf>
    <xf numFmtId="0" fontId="5" fillId="3" borderId="0" xfId="8" applyFont="1" applyFill="1" applyProtection="1">
      <protection hidden="1"/>
    </xf>
    <xf numFmtId="0" fontId="5" fillId="0" borderId="0" xfId="8" applyFont="1" applyAlignment="1" applyProtection="1">
      <alignment horizontal="center"/>
      <protection hidden="1"/>
    </xf>
    <xf numFmtId="0" fontId="10" fillId="0" borderId="0" xfId="8" applyFont="1" applyAlignment="1" applyProtection="1">
      <alignment horizontal="center"/>
      <protection hidden="1"/>
    </xf>
    <xf numFmtId="0" fontId="15" fillId="0" borderId="0" xfId="8" applyFont="1" applyProtection="1">
      <protection hidden="1"/>
    </xf>
    <xf numFmtId="0" fontId="9" fillId="0" borderId="0" xfId="8" applyFont="1" applyAlignment="1" applyProtection="1">
      <alignment horizontal="left"/>
      <protection hidden="1"/>
    </xf>
    <xf numFmtId="166" fontId="15" fillId="0" borderId="0" xfId="8" applyNumberFormat="1" applyFont="1" applyAlignment="1" applyProtection="1">
      <alignment horizontal="right"/>
      <protection hidden="1"/>
    </xf>
    <xf numFmtId="10" fontId="3" fillId="0" borderId="0" xfId="8" applyNumberFormat="1" applyFont="1" applyProtection="1">
      <protection hidden="1"/>
    </xf>
    <xf numFmtId="0" fontId="16" fillId="0" borderId="0" xfId="8" applyFont="1" applyAlignment="1" applyProtection="1">
      <alignment horizontal="center"/>
      <protection hidden="1"/>
    </xf>
    <xf numFmtId="0" fontId="4" fillId="0" borderId="0" xfId="8" applyFont="1" applyAlignment="1" applyProtection="1">
      <alignment horizontal="right"/>
      <protection hidden="1"/>
    </xf>
    <xf numFmtId="0" fontId="30" fillId="0" borderId="0" xfId="8" applyFont="1" applyProtection="1">
      <protection hidden="1"/>
    </xf>
    <xf numFmtId="0" fontId="16" fillId="0" borderId="0" xfId="8" applyFont="1" applyAlignment="1" applyProtection="1">
      <alignment horizontal="left"/>
      <protection hidden="1"/>
    </xf>
    <xf numFmtId="0" fontId="10" fillId="0" borderId="0" xfId="8" applyFont="1" applyAlignment="1" applyProtection="1">
      <alignment horizontal="left"/>
      <protection hidden="1"/>
    </xf>
    <xf numFmtId="0" fontId="5" fillId="8" borderId="0" xfId="8" quotePrefix="1" applyFont="1" applyFill="1" applyAlignment="1" applyProtection="1">
      <alignment horizontal="center"/>
      <protection hidden="1"/>
    </xf>
    <xf numFmtId="0" fontId="10" fillId="0" borderId="0" xfId="1" applyAlignment="1">
      <alignment horizontal="center"/>
      <protection hidden="1"/>
    </xf>
    <xf numFmtId="0" fontId="12" fillId="0" borderId="0" xfId="8" applyFont="1" applyProtection="1">
      <protection hidden="1"/>
    </xf>
    <xf numFmtId="0" fontId="4" fillId="0" borderId="0" xfId="8" applyFont="1"/>
    <xf numFmtId="0" fontId="32" fillId="0" borderId="0" xfId="8" applyFont="1"/>
    <xf numFmtId="0" fontId="12" fillId="0" borderId="0" xfId="8" applyFont="1" applyAlignment="1" applyProtection="1">
      <alignment horizontal="right"/>
      <protection hidden="1"/>
    </xf>
    <xf numFmtId="0" fontId="4" fillId="0" borderId="0" xfId="8" applyFont="1" applyProtection="1">
      <protection locked="0" hidden="1"/>
    </xf>
    <xf numFmtId="0" fontId="17" fillId="0" borderId="0" xfId="8" applyFont="1" applyProtection="1">
      <protection locked="0" hidden="1"/>
    </xf>
    <xf numFmtId="0" fontId="14" fillId="0" borderId="0" xfId="8" applyFont="1" applyAlignment="1" applyProtection="1">
      <alignment horizontal="left"/>
      <protection locked="0" hidden="1"/>
    </xf>
    <xf numFmtId="0" fontId="3" fillId="0" borderId="0" xfId="8" applyFont="1" applyProtection="1">
      <protection locked="0" hidden="1"/>
    </xf>
    <xf numFmtId="0" fontId="10" fillId="8" borderId="0" xfId="8" applyFont="1" applyFill="1" applyAlignment="1" applyProtection="1">
      <alignment horizontal="center"/>
      <protection hidden="1"/>
    </xf>
    <xf numFmtId="164" fontId="4" fillId="3" borderId="0" xfId="8" applyNumberFormat="1" applyFont="1" applyFill="1" applyProtection="1">
      <protection hidden="1"/>
    </xf>
    <xf numFmtId="0" fontId="16" fillId="0" borderId="0" xfId="8" applyFont="1" applyProtection="1">
      <protection hidden="1"/>
    </xf>
    <xf numFmtId="10" fontId="4" fillId="0" borderId="0" xfId="8" applyNumberFormat="1" applyFont="1" applyProtection="1">
      <protection hidden="1"/>
    </xf>
    <xf numFmtId="0" fontId="3" fillId="2" borderId="0" xfId="8" applyFont="1" applyFill="1" applyAlignment="1" applyProtection="1">
      <alignment horizontal="left"/>
      <protection locked="0" hidden="1"/>
    </xf>
    <xf numFmtId="0" fontId="17" fillId="0" borderId="0" xfId="8" applyFont="1" applyProtection="1">
      <protection hidden="1"/>
    </xf>
    <xf numFmtId="2" fontId="15" fillId="0" borderId="0" xfId="8" applyNumberFormat="1" applyFont="1" applyProtection="1">
      <protection hidden="1"/>
    </xf>
    <xf numFmtId="0" fontId="51" fillId="0" borderId="0" xfId="8" applyFont="1" applyAlignment="1" applyProtection="1">
      <alignment horizontal="right"/>
      <protection hidden="1"/>
    </xf>
    <xf numFmtId="1" fontId="3" fillId="2" borderId="0" xfId="8" applyNumberFormat="1" applyFont="1" applyFill="1" applyAlignment="1" applyProtection="1">
      <alignment horizontal="left"/>
      <protection locked="0" hidden="1"/>
    </xf>
    <xf numFmtId="166" fontId="52" fillId="0" borderId="0" xfId="8" applyNumberFormat="1" applyFont="1" applyProtection="1">
      <protection hidden="1"/>
    </xf>
    <xf numFmtId="0" fontId="4" fillId="0" borderId="0" xfId="8" quotePrefix="1" applyFont="1" applyProtection="1">
      <protection hidden="1"/>
    </xf>
    <xf numFmtId="0" fontId="4" fillId="6" borderId="0" xfId="8" applyFont="1" applyFill="1" applyProtection="1">
      <protection hidden="1"/>
    </xf>
    <xf numFmtId="0" fontId="8" fillId="6" borderId="0" xfId="8" applyFont="1" applyFill="1" applyAlignment="1" applyProtection="1">
      <alignment horizontal="center"/>
      <protection hidden="1"/>
    </xf>
    <xf numFmtId="0" fontId="5" fillId="6" borderId="0" xfId="8" applyFont="1" applyFill="1" applyAlignment="1" applyProtection="1">
      <alignment horizontal="center"/>
      <protection hidden="1"/>
    </xf>
    <xf numFmtId="0" fontId="4" fillId="6" borderId="0" xfId="8" applyFont="1" applyFill="1" applyAlignment="1" applyProtection="1">
      <alignment horizontal="center"/>
      <protection hidden="1"/>
    </xf>
    <xf numFmtId="164" fontId="13" fillId="6" borderId="0" xfId="8" applyNumberFormat="1" applyFont="1" applyFill="1" applyAlignment="1" applyProtection="1">
      <alignment horizontal="center"/>
      <protection hidden="1"/>
    </xf>
    <xf numFmtId="0" fontId="13" fillId="6" borderId="0" xfId="8" applyFont="1" applyFill="1" applyAlignment="1" applyProtection="1">
      <alignment horizontal="right"/>
      <protection hidden="1"/>
    </xf>
    <xf numFmtId="0" fontId="7" fillId="6" borderId="0" xfId="8" applyFont="1" applyFill="1" applyProtection="1">
      <protection hidden="1"/>
    </xf>
    <xf numFmtId="14" fontId="15" fillId="0" borderId="0" xfId="8" applyNumberFormat="1" applyFont="1" applyProtection="1">
      <protection hidden="1"/>
    </xf>
    <xf numFmtId="0" fontId="13" fillId="0" borderId="0" xfId="8" applyFont="1" applyAlignment="1" applyProtection="1">
      <alignment horizontal="left"/>
      <protection hidden="1"/>
    </xf>
    <xf numFmtId="0" fontId="4" fillId="3" borderId="0" xfId="8" applyFont="1" applyFill="1" applyAlignment="1" applyProtection="1">
      <alignment horizontal="left"/>
      <protection hidden="1"/>
    </xf>
    <xf numFmtId="0" fontId="5" fillId="0" borderId="0" xfId="8" applyFont="1" applyAlignment="1" applyProtection="1">
      <alignment horizontal="right" vertical="top"/>
      <protection hidden="1"/>
    </xf>
    <xf numFmtId="0" fontId="5" fillId="0" borderId="0" xfId="8" applyFont="1" applyAlignment="1" applyProtection="1">
      <alignment horizontal="right"/>
      <protection hidden="1"/>
    </xf>
    <xf numFmtId="0" fontId="5" fillId="0" borderId="0" xfId="8" applyFont="1" applyAlignment="1" applyProtection="1">
      <alignment horizontal="left"/>
      <protection hidden="1"/>
    </xf>
    <xf numFmtId="0" fontId="6" fillId="0" borderId="0" xfId="8" applyFont="1" applyAlignment="1" applyProtection="1">
      <alignment horizontal="left"/>
      <protection hidden="1"/>
    </xf>
    <xf numFmtId="0" fontId="32" fillId="0" borderId="0" xfId="8" applyFont="1" applyProtection="1">
      <protection hidden="1"/>
    </xf>
    <xf numFmtId="0" fontId="4" fillId="7" borderId="0" xfId="8" applyFont="1" applyFill="1" applyProtection="1">
      <protection hidden="1"/>
    </xf>
    <xf numFmtId="0" fontId="32" fillId="7" borderId="0" xfId="8" applyFont="1" applyFill="1" applyProtection="1">
      <protection hidden="1"/>
    </xf>
    <xf numFmtId="0" fontId="4" fillId="7" borderId="0" xfId="8" applyFont="1" applyFill="1" applyAlignment="1" applyProtection="1">
      <alignment horizontal="center"/>
      <protection hidden="1"/>
    </xf>
    <xf numFmtId="2" fontId="13" fillId="7" borderId="0" xfId="8" applyNumberFormat="1" applyFont="1" applyFill="1" applyAlignment="1" applyProtection="1">
      <alignment horizontal="left"/>
      <protection hidden="1"/>
    </xf>
    <xf numFmtId="2" fontId="10" fillId="7" borderId="0" xfId="8" applyNumberFormat="1" applyFont="1" applyFill="1" applyAlignment="1" applyProtection="1">
      <alignment horizontal="center"/>
      <protection hidden="1"/>
    </xf>
    <xf numFmtId="2" fontId="13" fillId="7" borderId="0" xfId="8" applyNumberFormat="1" applyFont="1" applyFill="1" applyAlignment="1" applyProtection="1">
      <alignment horizontal="center"/>
      <protection hidden="1"/>
    </xf>
    <xf numFmtId="0" fontId="13" fillId="7" borderId="0" xfId="8" applyFont="1" applyFill="1" applyAlignment="1" applyProtection="1">
      <alignment horizontal="right"/>
      <protection hidden="1"/>
    </xf>
    <xf numFmtId="0" fontId="5" fillId="7" borderId="0" xfId="8" applyFont="1" applyFill="1" applyProtection="1">
      <protection hidden="1"/>
    </xf>
    <xf numFmtId="0" fontId="13" fillId="7" borderId="0" xfId="8" applyFont="1" applyFill="1" applyProtection="1">
      <protection hidden="1"/>
    </xf>
    <xf numFmtId="0" fontId="32" fillId="5" borderId="0" xfId="8" applyFont="1" applyFill="1" applyProtection="1">
      <protection hidden="1"/>
    </xf>
    <xf numFmtId="0" fontId="8" fillId="5" borderId="0" xfId="8" applyFont="1" applyFill="1" applyAlignment="1" applyProtection="1">
      <alignment horizontal="center"/>
      <protection hidden="1"/>
    </xf>
    <xf numFmtId="0" fontId="3" fillId="2" borderId="0" xfId="8" applyFont="1" applyFill="1" applyProtection="1">
      <protection hidden="1"/>
    </xf>
    <xf numFmtId="0" fontId="8" fillId="0" borderId="0" xfId="8" applyFont="1" applyAlignment="1" applyProtection="1">
      <alignment horizontal="right"/>
      <protection hidden="1"/>
    </xf>
    <xf numFmtId="167" fontId="9" fillId="0" borderId="0" xfId="8" applyNumberFormat="1" applyFont="1" applyAlignment="1" applyProtection="1">
      <alignment horizontal="center"/>
      <protection hidden="1"/>
    </xf>
    <xf numFmtId="167" fontId="4" fillId="0" borderId="0" xfId="8" applyNumberFormat="1" applyFont="1" applyAlignment="1" applyProtection="1">
      <alignment horizontal="center"/>
      <protection hidden="1"/>
    </xf>
    <xf numFmtId="0" fontId="4" fillId="0" borderId="0" xfId="8" applyFont="1" applyAlignment="1" applyProtection="1">
      <alignment vertical="top"/>
      <protection hidden="1"/>
    </xf>
    <xf numFmtId="0" fontId="32" fillId="0" borderId="0" xfId="8" applyFont="1" applyAlignment="1" applyProtection="1">
      <alignment vertical="top"/>
      <protection hidden="1"/>
    </xf>
    <xf numFmtId="0" fontId="4" fillId="4" borderId="0" xfId="8" applyFont="1" applyFill="1" applyAlignment="1" applyProtection="1">
      <alignment vertical="top"/>
      <protection hidden="1"/>
    </xf>
    <xf numFmtId="0" fontId="4" fillId="3" borderId="0" xfId="8" applyFont="1" applyFill="1" applyAlignment="1" applyProtection="1">
      <alignment vertical="top"/>
      <protection hidden="1"/>
    </xf>
    <xf numFmtId="0" fontId="4" fillId="3" borderId="0" xfId="8" applyFont="1" applyFill="1" applyAlignment="1" applyProtection="1">
      <alignment horizontal="center" vertical="top"/>
      <protection hidden="1"/>
    </xf>
    <xf numFmtId="0" fontId="3" fillId="8" borderId="0" xfId="8" applyFont="1" applyFill="1" applyAlignment="1" applyProtection="1">
      <alignment vertical="top"/>
      <protection hidden="1"/>
    </xf>
    <xf numFmtId="0" fontId="4" fillId="8" borderId="0" xfId="8" applyFont="1" applyFill="1" applyAlignment="1" applyProtection="1">
      <alignment horizontal="center" vertical="top"/>
      <protection hidden="1"/>
    </xf>
    <xf numFmtId="0" fontId="20" fillId="0" borderId="0" xfId="8" applyFont="1" applyAlignment="1" applyProtection="1">
      <alignment vertical="top"/>
      <protection hidden="1"/>
    </xf>
    <xf numFmtId="0" fontId="4" fillId="0" borderId="0" xfId="8" applyFont="1" applyAlignment="1" applyProtection="1">
      <alignment horizontal="right" vertical="top"/>
      <protection hidden="1"/>
    </xf>
    <xf numFmtId="0" fontId="4" fillId="0" borderId="0" xfId="8" applyFont="1" applyAlignment="1" applyProtection="1">
      <alignment horizontal="center" vertical="top"/>
      <protection hidden="1"/>
    </xf>
    <xf numFmtId="1" fontId="3" fillId="2" borderId="0" xfId="8" applyNumberFormat="1" applyFont="1" applyFill="1" applyAlignment="1" applyProtection="1">
      <alignment vertical="top"/>
      <protection locked="0" hidden="1"/>
    </xf>
    <xf numFmtId="0" fontId="14" fillId="0" borderId="0" xfId="8" quotePrefix="1" applyFont="1" applyAlignment="1" applyProtection="1">
      <alignment horizontal="left" vertical="top"/>
      <protection hidden="1"/>
    </xf>
    <xf numFmtId="0" fontId="32" fillId="0" borderId="0" xfId="8" applyFont="1" applyAlignment="1" applyProtection="1">
      <alignment horizontal="center" vertical="top"/>
      <protection hidden="1"/>
    </xf>
    <xf numFmtId="166" fontId="3" fillId="0" borderId="0" xfId="8" applyNumberFormat="1" applyFont="1" applyAlignment="1" applyProtection="1">
      <alignment vertical="top"/>
      <protection hidden="1"/>
    </xf>
    <xf numFmtId="166" fontId="3" fillId="2" borderId="0" xfId="8" applyNumberFormat="1" applyFont="1" applyFill="1" applyAlignment="1" applyProtection="1">
      <alignment vertical="top"/>
      <protection locked="0" hidden="1"/>
    </xf>
    <xf numFmtId="0" fontId="12" fillId="0" borderId="0" xfId="8" applyFont="1" applyAlignment="1" applyProtection="1">
      <alignment vertical="top"/>
      <protection hidden="1"/>
    </xf>
    <xf numFmtId="0" fontId="32" fillId="0" borderId="0" xfId="8" applyFont="1" applyAlignment="1" applyProtection="1">
      <alignment horizontal="left" vertical="top"/>
      <protection hidden="1"/>
    </xf>
    <xf numFmtId="14" fontId="14" fillId="0" borderId="0" xfId="8" quotePrefix="1" applyNumberFormat="1" applyFont="1" applyAlignment="1" applyProtection="1">
      <alignment horizontal="left" vertical="top"/>
      <protection hidden="1"/>
    </xf>
    <xf numFmtId="0" fontId="1" fillId="0" borderId="0" xfId="8" applyAlignment="1" applyProtection="1">
      <alignment vertical="top"/>
      <protection hidden="1"/>
    </xf>
    <xf numFmtId="0" fontId="3" fillId="0" borderId="0" xfId="8" applyFont="1" applyAlignment="1" applyProtection="1">
      <alignment vertical="top"/>
      <protection hidden="1"/>
    </xf>
    <xf numFmtId="0" fontId="9" fillId="5" borderId="0" xfId="8" applyFont="1" applyFill="1" applyProtection="1">
      <protection hidden="1"/>
    </xf>
    <xf numFmtId="0" fontId="3" fillId="8" borderId="0" xfId="8" applyFont="1" applyFill="1" applyAlignment="1" applyProtection="1">
      <alignment horizontal="right"/>
      <protection hidden="1"/>
    </xf>
    <xf numFmtId="2" fontId="17" fillId="0" borderId="0" xfId="8" applyNumberFormat="1" applyFont="1" applyProtection="1">
      <protection hidden="1"/>
    </xf>
    <xf numFmtId="0" fontId="54" fillId="0" borderId="0" xfId="8" applyFont="1" applyAlignment="1">
      <alignment horizontal="left" vertical="top" wrapText="1"/>
    </xf>
    <xf numFmtId="2" fontId="10" fillId="8" borderId="0" xfId="8" applyNumberFormat="1" applyFont="1" applyFill="1" applyAlignment="1" applyProtection="1">
      <alignment horizontal="center"/>
      <protection hidden="1"/>
    </xf>
    <xf numFmtId="164" fontId="3" fillId="2" borderId="0" xfId="8" applyNumberFormat="1" applyFont="1" applyFill="1" applyProtection="1">
      <protection locked="0" hidden="1"/>
    </xf>
    <xf numFmtId="9" fontId="4" fillId="0" borderId="0" xfId="8" applyNumberFormat="1" applyFont="1" applyProtection="1">
      <protection hidden="1"/>
    </xf>
    <xf numFmtId="0" fontId="9" fillId="0" borderId="0" xfId="8" applyFont="1" applyProtection="1">
      <protection hidden="1"/>
    </xf>
    <xf numFmtId="0" fontId="32" fillId="6" borderId="0" xfId="8" applyFont="1" applyFill="1" applyProtection="1">
      <protection hidden="1"/>
    </xf>
    <xf numFmtId="0" fontId="8" fillId="6" borderId="0" xfId="8" applyFont="1" applyFill="1" applyAlignment="1" applyProtection="1">
      <alignment horizontal="right"/>
      <protection hidden="1"/>
    </xf>
    <xf numFmtId="0" fontId="55" fillId="0" borderId="0" xfId="8" applyFont="1" applyProtection="1">
      <protection hidden="1"/>
    </xf>
    <xf numFmtId="0" fontId="42" fillId="0" borderId="0" xfId="8" applyFont="1" applyProtection="1">
      <protection hidden="1"/>
    </xf>
    <xf numFmtId="0" fontId="55" fillId="4" borderId="0" xfId="8" applyFont="1" applyFill="1" applyProtection="1">
      <protection hidden="1"/>
    </xf>
    <xf numFmtId="0" fontId="55" fillId="3" borderId="0" xfId="8" applyFont="1" applyFill="1" applyProtection="1">
      <protection hidden="1"/>
    </xf>
    <xf numFmtId="0" fontId="55" fillId="3" borderId="0" xfId="8" applyFont="1" applyFill="1" applyAlignment="1" applyProtection="1">
      <alignment horizontal="left"/>
      <protection hidden="1"/>
    </xf>
    <xf numFmtId="0" fontId="8" fillId="0" borderId="0" xfId="8" applyFont="1" applyAlignment="1" applyProtection="1">
      <alignment horizontal="left"/>
      <protection locked="0" hidden="1"/>
    </xf>
    <xf numFmtId="0" fontId="11" fillId="3" borderId="0" xfId="8" applyFont="1" applyFill="1" applyAlignment="1" applyProtection="1">
      <alignment horizontal="right"/>
      <protection hidden="1"/>
    </xf>
    <xf numFmtId="0" fontId="32" fillId="0" borderId="0" xfId="8" applyFont="1" applyAlignment="1" applyProtection="1">
      <alignment horizontal="right"/>
      <protection hidden="1"/>
    </xf>
    <xf numFmtId="166" fontId="15" fillId="0" borderId="0" xfId="8" applyNumberFormat="1" applyFont="1" applyProtection="1">
      <protection hidden="1"/>
    </xf>
    <xf numFmtId="0" fontId="0" fillId="14" borderId="0" xfId="0" applyFill="1" applyAlignment="1">
      <alignment vertical="center"/>
    </xf>
    <xf numFmtId="0" fontId="0" fillId="15" borderId="0" xfId="0" applyFill="1" applyAlignment="1">
      <alignment vertical="center"/>
    </xf>
    <xf numFmtId="0" fontId="37" fillId="0" borderId="0" xfId="0" applyFont="1" applyAlignment="1">
      <alignment vertical="center"/>
    </xf>
    <xf numFmtId="0" fontId="3" fillId="0" borderId="0" xfId="0" applyFont="1" applyAlignment="1">
      <alignment vertical="center"/>
    </xf>
    <xf numFmtId="0" fontId="37" fillId="0" borderId="0" xfId="0" applyFont="1" applyAlignment="1">
      <alignment horizontal="center" vertical="center"/>
    </xf>
    <xf numFmtId="0" fontId="53" fillId="0" borderId="0" xfId="0" applyFont="1" applyAlignment="1">
      <alignment vertical="center"/>
    </xf>
    <xf numFmtId="0" fontId="46" fillId="0" borderId="0" xfId="0" applyFont="1" applyAlignment="1">
      <alignment horizontal="center" vertical="center"/>
    </xf>
    <xf numFmtId="0" fontId="1" fillId="18" borderId="0" xfId="0" applyFont="1" applyFill="1"/>
    <xf numFmtId="0" fontId="0" fillId="18" borderId="0" xfId="0" applyFill="1"/>
    <xf numFmtId="0" fontId="1" fillId="20" borderId="0" xfId="0" applyFont="1" applyFill="1"/>
    <xf numFmtId="0" fontId="0" fillId="20" borderId="0" xfId="0" applyFill="1"/>
    <xf numFmtId="0" fontId="1" fillId="21" borderId="0" xfId="0" applyFont="1" applyFill="1"/>
    <xf numFmtId="0" fontId="0" fillId="21" borderId="0" xfId="0" applyFill="1"/>
    <xf numFmtId="0" fontId="1" fillId="22" borderId="0" xfId="0" applyFont="1" applyFill="1"/>
    <xf numFmtId="0" fontId="0" fillId="22" borderId="0" xfId="0" applyFill="1"/>
    <xf numFmtId="0" fontId="4" fillId="3" borderId="0" xfId="0" applyFont="1" applyFill="1" applyAlignment="1" applyProtection="1">
      <alignment horizontal="center" vertical="center"/>
      <protection hidden="1"/>
    </xf>
    <xf numFmtId="0" fontId="4" fillId="3" borderId="0" xfId="0" applyFont="1" applyFill="1" applyAlignment="1" applyProtection="1">
      <alignment vertical="center"/>
      <protection hidden="1"/>
    </xf>
    <xf numFmtId="0" fontId="4" fillId="4" borderId="0" xfId="0" applyFont="1" applyFill="1" applyAlignment="1" applyProtection="1">
      <alignment vertical="center"/>
      <protection hidden="1"/>
    </xf>
    <xf numFmtId="0" fontId="14" fillId="0" borderId="0" xfId="0" applyFont="1" applyAlignment="1" applyProtection="1">
      <alignment horizontal="left" vertical="center"/>
      <protection hidden="1"/>
    </xf>
    <xf numFmtId="0" fontId="3" fillId="0" borderId="0" xfId="0" applyFont="1" applyAlignment="1" applyProtection="1">
      <alignment vertical="center"/>
      <protection hidden="1"/>
    </xf>
    <xf numFmtId="0" fontId="5" fillId="0" borderId="0" xfId="0" applyFont="1" applyAlignment="1" applyProtection="1">
      <alignment horizontal="left" vertical="center"/>
      <protection hidden="1"/>
    </xf>
    <xf numFmtId="0" fontId="27" fillId="0" borderId="0" xfId="0" applyFont="1" applyAlignment="1">
      <alignment vertical="center"/>
    </xf>
    <xf numFmtId="0" fontId="4" fillId="0" borderId="0" xfId="0" applyFont="1" applyAlignment="1" applyProtection="1">
      <alignment vertical="center"/>
      <protection hidden="1"/>
    </xf>
    <xf numFmtId="0" fontId="5" fillId="0" borderId="0" xfId="0" applyFont="1" applyAlignment="1" applyProtection="1">
      <alignment vertical="center"/>
      <protection hidden="1"/>
    </xf>
    <xf numFmtId="0" fontId="4" fillId="0" borderId="0" xfId="0" applyFont="1" applyAlignment="1" applyProtection="1">
      <alignment horizontal="center" vertical="center"/>
      <protection hidden="1"/>
    </xf>
    <xf numFmtId="0" fontId="3" fillId="0" borderId="0" xfId="0" applyFont="1" applyAlignment="1" applyProtection="1">
      <alignment horizontal="center" vertical="center"/>
      <protection hidden="1"/>
    </xf>
    <xf numFmtId="0" fontId="32" fillId="0" borderId="0" xfId="0" applyFont="1" applyAlignment="1">
      <alignment vertical="center"/>
    </xf>
    <xf numFmtId="0" fontId="4" fillId="0" borderId="0" xfId="0" applyFont="1" applyAlignment="1">
      <alignment vertical="center"/>
    </xf>
    <xf numFmtId="0" fontId="6" fillId="0" borderId="0" xfId="0" applyFont="1" applyAlignment="1" applyProtection="1">
      <alignment horizontal="left" vertical="center"/>
      <protection hidden="1"/>
    </xf>
    <xf numFmtId="0" fontId="56" fillId="0" borderId="0" xfId="0" applyFont="1" applyAlignment="1" applyProtection="1">
      <alignment horizontal="center" vertical="center"/>
      <protection hidden="1"/>
    </xf>
    <xf numFmtId="166" fontId="3" fillId="2" borderId="0" xfId="0" applyNumberFormat="1" applyFont="1" applyFill="1" applyAlignment="1" applyProtection="1">
      <alignment vertical="center"/>
      <protection locked="0" hidden="1"/>
    </xf>
    <xf numFmtId="0" fontId="3" fillId="0" borderId="0" xfId="0" applyFont="1" applyAlignment="1" applyProtection="1">
      <alignment horizontal="left" vertical="center"/>
      <protection hidden="1"/>
    </xf>
    <xf numFmtId="0" fontId="3" fillId="3" borderId="0" xfId="0" applyFont="1" applyFill="1" applyAlignment="1" applyProtection="1">
      <alignment vertical="center"/>
      <protection hidden="1"/>
    </xf>
    <xf numFmtId="0" fontId="3" fillId="4" borderId="0" xfId="0" applyFont="1" applyFill="1" applyAlignment="1" applyProtection="1">
      <alignment vertical="center"/>
      <protection hidden="1"/>
    </xf>
    <xf numFmtId="14" fontId="14" fillId="0" borderId="0" xfId="0" quotePrefix="1" applyNumberFormat="1" applyFont="1" applyAlignment="1" applyProtection="1">
      <alignment horizontal="left" vertical="center"/>
      <protection hidden="1"/>
    </xf>
    <xf numFmtId="0" fontId="14" fillId="0" borderId="0" xfId="0" quotePrefix="1" applyFont="1" applyAlignment="1" applyProtection="1">
      <alignment horizontal="left" vertical="center"/>
      <protection hidden="1"/>
    </xf>
    <xf numFmtId="0" fontId="48" fillId="0" borderId="0" xfId="0" applyFont="1" applyAlignment="1">
      <alignment vertical="center"/>
    </xf>
    <xf numFmtId="0" fontId="2" fillId="0" borderId="0" xfId="8" applyFont="1" applyAlignment="1" applyProtection="1">
      <alignment horizontal="right" vertical="center"/>
      <protection hidden="1"/>
    </xf>
    <xf numFmtId="166" fontId="3" fillId="0" borderId="0" xfId="0" applyNumberFormat="1" applyFont="1" applyAlignment="1" applyProtection="1">
      <alignment vertical="center"/>
      <protection hidden="1"/>
    </xf>
    <xf numFmtId="14" fontId="31" fillId="0" borderId="0" xfId="0" quotePrefix="1" applyNumberFormat="1" applyFont="1" applyAlignment="1" applyProtection="1">
      <alignment horizontal="center" vertical="center"/>
      <protection hidden="1"/>
    </xf>
    <xf numFmtId="0" fontId="8" fillId="0" borderId="0" xfId="0" applyFont="1" applyAlignment="1" applyProtection="1">
      <alignment vertical="center"/>
      <protection hidden="1"/>
    </xf>
    <xf numFmtId="164" fontId="4" fillId="3" borderId="0" xfId="0" applyNumberFormat="1" applyFont="1" applyFill="1" applyAlignment="1" applyProtection="1">
      <alignment vertical="center"/>
      <protection hidden="1"/>
    </xf>
    <xf numFmtId="2" fontId="3" fillId="0" borderId="0" xfId="0" applyNumberFormat="1" applyFont="1" applyAlignment="1" applyProtection="1">
      <alignment vertical="center"/>
      <protection hidden="1"/>
    </xf>
    <xf numFmtId="0" fontId="4" fillId="8" borderId="0" xfId="0" applyFont="1" applyFill="1" applyAlignment="1" applyProtection="1">
      <alignment horizontal="center" vertical="center"/>
      <protection hidden="1"/>
    </xf>
    <xf numFmtId="0" fontId="3" fillId="8" borderId="0" xfId="0" applyFont="1" applyFill="1" applyAlignment="1" applyProtection="1">
      <alignment horizontal="center" vertical="center"/>
      <protection hidden="1"/>
    </xf>
    <xf numFmtId="0" fontId="9" fillId="0" borderId="0" xfId="0" applyFont="1" applyAlignment="1" applyProtection="1">
      <alignment horizontal="center" vertical="center"/>
      <protection hidden="1"/>
    </xf>
    <xf numFmtId="0" fontId="1" fillId="0" borderId="0" xfId="0" applyFont="1" applyAlignment="1">
      <alignment vertical="center"/>
    </xf>
    <xf numFmtId="0" fontId="3" fillId="8" borderId="0" xfId="0" applyFont="1" applyFill="1" applyAlignment="1" applyProtection="1">
      <alignment vertical="center"/>
      <protection hidden="1"/>
    </xf>
    <xf numFmtId="164" fontId="3" fillId="4" borderId="0" xfId="0" applyNumberFormat="1" applyFont="1" applyFill="1" applyAlignment="1" applyProtection="1">
      <alignment vertical="center"/>
      <protection hidden="1"/>
    </xf>
    <xf numFmtId="0" fontId="4" fillId="8" borderId="0" xfId="0" applyFont="1" applyFill="1" applyAlignment="1" applyProtection="1">
      <alignment vertical="center"/>
      <protection hidden="1"/>
    </xf>
    <xf numFmtId="0" fontId="2" fillId="0" borderId="0" xfId="0" applyFont="1" applyAlignment="1" applyProtection="1">
      <alignment horizontal="right" vertical="center"/>
      <protection hidden="1"/>
    </xf>
    <xf numFmtId="0" fontId="5" fillId="8" borderId="0" xfId="0" quotePrefix="1" applyFont="1" applyFill="1" applyAlignment="1" applyProtection="1">
      <alignment horizontal="center" vertical="center"/>
      <protection hidden="1"/>
    </xf>
    <xf numFmtId="2" fontId="10" fillId="8" borderId="0" xfId="0" applyNumberFormat="1" applyFont="1" applyFill="1" applyAlignment="1" applyProtection="1">
      <alignment horizontal="center" vertical="center"/>
      <protection hidden="1"/>
    </xf>
    <xf numFmtId="0" fontId="8" fillId="3" borderId="0" xfId="0" applyFont="1" applyFill="1" applyAlignment="1" applyProtection="1">
      <alignment horizontal="center" vertical="center"/>
      <protection hidden="1"/>
    </xf>
    <xf numFmtId="0" fontId="9" fillId="3" borderId="0" xfId="0" applyFont="1" applyFill="1" applyAlignment="1" applyProtection="1">
      <alignment horizontal="center" vertical="center"/>
      <protection hidden="1"/>
    </xf>
    <xf numFmtId="164" fontId="3" fillId="3" borderId="0" xfId="0" applyNumberFormat="1" applyFont="1" applyFill="1" applyAlignment="1" applyProtection="1">
      <alignment vertical="center"/>
      <protection hidden="1"/>
    </xf>
    <xf numFmtId="1" fontId="3" fillId="2" borderId="0" xfId="0" applyNumberFormat="1" applyFont="1" applyFill="1" applyAlignment="1" applyProtection="1">
      <alignment vertical="center"/>
      <protection locked="0" hidden="1"/>
    </xf>
    <xf numFmtId="0" fontId="4" fillId="8" borderId="0" xfId="0" quotePrefix="1" applyFont="1" applyFill="1" applyAlignment="1" applyProtection="1">
      <alignment horizontal="center" vertical="center"/>
      <protection hidden="1"/>
    </xf>
    <xf numFmtId="0" fontId="4" fillId="0" borderId="0" xfId="0" applyFont="1" applyAlignment="1" applyProtection="1">
      <alignment horizontal="right" vertical="center"/>
      <protection hidden="1"/>
    </xf>
    <xf numFmtId="10" fontId="3" fillId="0" borderId="0" xfId="0" applyNumberFormat="1" applyFont="1" applyAlignment="1" applyProtection="1">
      <alignment vertical="center"/>
      <protection hidden="1"/>
    </xf>
    <xf numFmtId="165" fontId="3" fillId="0" borderId="0" xfId="0" applyNumberFormat="1" applyFont="1" applyAlignment="1" applyProtection="1">
      <alignment vertical="center"/>
      <protection hidden="1"/>
    </xf>
    <xf numFmtId="0" fontId="16" fillId="0" borderId="0" xfId="0" applyFont="1" applyAlignment="1" applyProtection="1">
      <alignment horizontal="left" vertical="center"/>
      <protection hidden="1"/>
    </xf>
    <xf numFmtId="0" fontId="30" fillId="0" borderId="0" xfId="0" applyFont="1" applyAlignment="1" applyProtection="1">
      <alignment vertical="center"/>
      <protection hidden="1"/>
    </xf>
    <xf numFmtId="0" fontId="5" fillId="8" borderId="0" xfId="0" applyFont="1" applyFill="1" applyAlignment="1" applyProtection="1">
      <alignment horizontal="center" vertical="center"/>
      <protection hidden="1"/>
    </xf>
    <xf numFmtId="165" fontId="3" fillId="3" borderId="0" xfId="0" applyNumberFormat="1" applyFont="1" applyFill="1" applyAlignment="1" applyProtection="1">
      <alignment vertical="center"/>
      <protection hidden="1"/>
    </xf>
    <xf numFmtId="2" fontId="9" fillId="0" borderId="0" xfId="0" applyNumberFormat="1" applyFont="1" applyAlignment="1" applyProtection="1">
      <alignment horizontal="center" vertical="center"/>
      <protection hidden="1"/>
    </xf>
    <xf numFmtId="166" fontId="3" fillId="17" borderId="0" xfId="0" applyNumberFormat="1" applyFont="1" applyFill="1" applyAlignment="1" applyProtection="1">
      <alignment vertical="center"/>
      <protection locked="0" hidden="1"/>
    </xf>
    <xf numFmtId="164" fontId="9" fillId="0" borderId="0" xfId="0" applyNumberFormat="1" applyFont="1" applyAlignment="1" applyProtection="1">
      <alignment horizontal="center" vertical="center"/>
      <protection hidden="1"/>
    </xf>
    <xf numFmtId="0" fontId="3" fillId="3" borderId="0" xfId="0" applyFont="1" applyFill="1" applyAlignment="1" applyProtection="1">
      <alignment horizontal="right" vertical="center"/>
      <protection hidden="1"/>
    </xf>
    <xf numFmtId="0" fontId="11" fillId="4" borderId="0" xfId="0" applyFont="1" applyFill="1" applyAlignment="1" applyProtection="1">
      <alignment vertical="center"/>
      <protection hidden="1"/>
    </xf>
    <xf numFmtId="0" fontId="11" fillId="3" borderId="0" xfId="0" applyFont="1" applyFill="1" applyAlignment="1" applyProtection="1">
      <alignment horizontal="center" vertical="center"/>
      <protection hidden="1"/>
    </xf>
    <xf numFmtId="0" fontId="11" fillId="3" borderId="0" xfId="0" applyFont="1" applyFill="1" applyAlignment="1" applyProtection="1">
      <alignment vertical="center"/>
      <protection hidden="1"/>
    </xf>
    <xf numFmtId="1" fontId="3" fillId="0" borderId="0" xfId="0" applyNumberFormat="1" applyFont="1" applyAlignment="1" applyProtection="1">
      <alignment vertical="center"/>
      <protection hidden="1"/>
    </xf>
    <xf numFmtId="164" fontId="9" fillId="2" borderId="0" xfId="0" applyNumberFormat="1" applyFont="1" applyFill="1" applyAlignment="1" applyProtection="1">
      <alignment horizontal="center" vertical="center"/>
      <protection locked="0" hidden="1"/>
    </xf>
    <xf numFmtId="0" fontId="14" fillId="0" borderId="0" xfId="8" applyFont="1" applyAlignment="1" applyProtection="1">
      <alignment horizontal="left" vertical="center"/>
      <protection hidden="1"/>
    </xf>
    <xf numFmtId="0" fontId="3" fillId="0" borderId="0" xfId="8" applyFont="1" applyAlignment="1" applyProtection="1">
      <alignment vertical="center"/>
      <protection hidden="1"/>
    </xf>
    <xf numFmtId="0" fontId="3" fillId="0" borderId="0" xfId="8" applyFont="1" applyAlignment="1" applyProtection="1">
      <alignment horizontal="center" vertical="center"/>
      <protection hidden="1"/>
    </xf>
    <xf numFmtId="0" fontId="4" fillId="0" borderId="0" xfId="8" applyFont="1" applyAlignment="1" applyProtection="1">
      <alignment vertical="center"/>
      <protection hidden="1"/>
    </xf>
    <xf numFmtId="166" fontId="3" fillId="2" borderId="0" xfId="8" applyNumberFormat="1" applyFont="1" applyFill="1" applyAlignment="1" applyProtection="1">
      <alignment vertical="center"/>
      <protection locked="0" hidden="1"/>
    </xf>
    <xf numFmtId="0" fontId="3" fillId="3" borderId="0" xfId="8" applyFont="1" applyFill="1" applyAlignment="1" applyProtection="1">
      <alignment vertical="center"/>
      <protection hidden="1"/>
    </xf>
    <xf numFmtId="0" fontId="3" fillId="4" borderId="0" xfId="8" applyFont="1" applyFill="1" applyAlignment="1" applyProtection="1">
      <alignment vertical="center"/>
      <protection hidden="1"/>
    </xf>
    <xf numFmtId="14" fontId="14" fillId="0" borderId="0" xfId="8" quotePrefix="1" applyNumberFormat="1" applyFont="1" applyAlignment="1" applyProtection="1">
      <alignment horizontal="left" vertical="center"/>
      <protection hidden="1"/>
    </xf>
    <xf numFmtId="0" fontId="14" fillId="0" borderId="0" xfId="8" quotePrefix="1" applyFont="1" applyAlignment="1" applyProtection="1">
      <alignment horizontal="left" vertical="center"/>
      <protection hidden="1"/>
    </xf>
    <xf numFmtId="0" fontId="4" fillId="8" borderId="0" xfId="8" applyFont="1" applyFill="1" applyAlignment="1" applyProtection="1">
      <alignment horizontal="center" vertical="center"/>
      <protection hidden="1"/>
    </xf>
    <xf numFmtId="0" fontId="3" fillId="8" borderId="0" xfId="8" applyFont="1" applyFill="1" applyAlignment="1" applyProtection="1">
      <alignment vertical="center"/>
      <protection hidden="1"/>
    </xf>
    <xf numFmtId="0" fontId="5" fillId="8" borderId="0" xfId="8" quotePrefix="1" applyFont="1" applyFill="1" applyAlignment="1" applyProtection="1">
      <alignment horizontal="center" vertical="center"/>
      <protection hidden="1"/>
    </xf>
    <xf numFmtId="0" fontId="4" fillId="8" borderId="0" xfId="8" quotePrefix="1" applyFont="1" applyFill="1" applyAlignment="1" applyProtection="1">
      <alignment horizontal="center" vertical="center"/>
      <protection hidden="1"/>
    </xf>
    <xf numFmtId="2" fontId="9" fillId="0" borderId="0" xfId="8" applyNumberFormat="1" applyFont="1" applyAlignment="1" applyProtection="1">
      <alignment horizontal="center" vertical="center"/>
      <protection hidden="1"/>
    </xf>
    <xf numFmtId="165" fontId="3" fillId="0" borderId="0" xfId="8" applyNumberFormat="1" applyFont="1" applyAlignment="1" applyProtection="1">
      <alignment vertical="center"/>
      <protection hidden="1"/>
    </xf>
    <xf numFmtId="165" fontId="3" fillId="3" borderId="0" xfId="8" applyNumberFormat="1" applyFont="1" applyFill="1" applyAlignment="1" applyProtection="1">
      <alignment vertical="center"/>
      <protection hidden="1"/>
    </xf>
    <xf numFmtId="0" fontId="3" fillId="3" borderId="0" xfId="8" applyFont="1" applyFill="1" applyAlignment="1" applyProtection="1">
      <alignment horizontal="center" vertical="center"/>
      <protection hidden="1"/>
    </xf>
    <xf numFmtId="0" fontId="3" fillId="3" borderId="0" xfId="8" applyFont="1" applyFill="1" applyAlignment="1" applyProtection="1">
      <alignment horizontal="right" vertical="center"/>
      <protection hidden="1"/>
    </xf>
    <xf numFmtId="0" fontId="11" fillId="4" borderId="0" xfId="8" applyFont="1" applyFill="1" applyAlignment="1" applyProtection="1">
      <alignment vertical="center"/>
      <protection hidden="1"/>
    </xf>
    <xf numFmtId="0" fontId="11" fillId="3" borderId="0" xfId="8" applyFont="1" applyFill="1" applyAlignment="1" applyProtection="1">
      <alignment horizontal="center" vertical="center"/>
      <protection hidden="1"/>
    </xf>
    <xf numFmtId="0" fontId="11" fillId="3" borderId="0" xfId="8" applyFont="1" applyFill="1" applyAlignment="1" applyProtection="1">
      <alignment vertical="center"/>
      <protection hidden="1"/>
    </xf>
    <xf numFmtId="164" fontId="9" fillId="0" borderId="0" xfId="8" applyNumberFormat="1" applyFont="1" applyAlignment="1" applyProtection="1">
      <alignment horizontal="center" vertical="center"/>
      <protection hidden="1"/>
    </xf>
    <xf numFmtId="2" fontId="21" fillId="18" borderId="0" xfId="0" applyNumberFormat="1" applyFont="1" applyFill="1" applyAlignment="1" applyProtection="1">
      <alignment horizontal="center" vertical="center"/>
      <protection hidden="1"/>
    </xf>
    <xf numFmtId="0" fontId="41" fillId="0" borderId="0" xfId="0" applyFont="1" applyAlignment="1">
      <alignment horizontal="left" vertical="center" wrapText="1"/>
    </xf>
    <xf numFmtId="0" fontId="0" fillId="0" borderId="0" xfId="0" applyAlignment="1">
      <alignment vertical="center"/>
    </xf>
    <xf numFmtId="0" fontId="34" fillId="0" borderId="0" xfId="0" applyFont="1" applyAlignment="1">
      <alignment vertical="center"/>
    </xf>
    <xf numFmtId="0" fontId="34" fillId="0" borderId="0" xfId="0" applyFont="1" applyAlignment="1" applyProtection="1">
      <alignment horizontal="left" vertical="center"/>
      <protection hidden="1"/>
    </xf>
    <xf numFmtId="0" fontId="27" fillId="0" borderId="0" xfId="0" applyFont="1" applyAlignment="1" applyProtection="1">
      <alignment vertical="center"/>
      <protection hidden="1"/>
    </xf>
    <xf numFmtId="166" fontId="27" fillId="0" borderId="0" xfId="0" applyNumberFormat="1" applyFont="1" applyAlignment="1" applyProtection="1">
      <alignment vertical="center"/>
      <protection hidden="1"/>
    </xf>
    <xf numFmtId="0" fontId="34" fillId="0" borderId="0" xfId="0" applyFont="1" applyAlignment="1" applyProtection="1">
      <alignment vertical="center"/>
      <protection hidden="1"/>
    </xf>
    <xf numFmtId="0" fontId="41" fillId="0" borderId="0" xfId="0" applyFont="1" applyAlignment="1">
      <alignment vertical="center" wrapText="1"/>
    </xf>
    <xf numFmtId="0" fontId="37" fillId="0" borderId="0" xfId="0" applyFont="1" applyAlignment="1">
      <alignment vertical="center" wrapText="1"/>
    </xf>
    <xf numFmtId="0" fontId="4" fillId="14" borderId="0" xfId="0" applyFont="1" applyFill="1" applyAlignment="1" applyProtection="1">
      <alignment vertical="center"/>
      <protection hidden="1"/>
    </xf>
    <xf numFmtId="0" fontId="4" fillId="15" borderId="0" xfId="0" applyFont="1" applyFill="1" applyAlignment="1" applyProtection="1">
      <alignment vertical="center"/>
      <protection hidden="1"/>
    </xf>
    <xf numFmtId="171" fontId="34" fillId="17" borderId="0" xfId="0" applyNumberFormat="1" applyFont="1" applyFill="1" applyAlignment="1" applyProtection="1">
      <alignment horizontal="right" vertical="center"/>
      <protection locked="0"/>
    </xf>
    <xf numFmtId="0" fontId="8" fillId="0" borderId="0" xfId="0" applyFont="1" applyAlignment="1">
      <alignment vertical="center" wrapText="1"/>
    </xf>
    <xf numFmtId="0" fontId="30" fillId="0" borderId="0" xfId="0" applyFont="1" applyAlignment="1">
      <alignment horizontal="right" vertical="center"/>
    </xf>
    <xf numFmtId="0" fontId="34" fillId="12" borderId="0" xfId="0" applyFont="1" applyFill="1" applyAlignment="1">
      <alignment horizontal="center" vertical="center"/>
    </xf>
    <xf numFmtId="0" fontId="34" fillId="14" borderId="0" xfId="0" applyFont="1" applyFill="1" applyAlignment="1">
      <alignment horizontal="center" vertical="center"/>
    </xf>
    <xf numFmtId="0" fontId="34" fillId="15" borderId="0" xfId="0" applyFont="1" applyFill="1" applyAlignment="1">
      <alignment horizontal="center" vertical="center"/>
    </xf>
    <xf numFmtId="0" fontId="0" fillId="14" borderId="0" xfId="0" applyFill="1" applyAlignment="1">
      <alignment horizontal="center" vertical="center"/>
    </xf>
    <xf numFmtId="0" fontId="0" fillId="15" borderId="0" xfId="0" applyFill="1" applyAlignment="1">
      <alignment horizontal="center" vertical="center"/>
    </xf>
    <xf numFmtId="0" fontId="3" fillId="0" borderId="0" xfId="0" applyFont="1" applyAlignment="1">
      <alignment vertical="center" wrapText="1"/>
    </xf>
    <xf numFmtId="9" fontId="8" fillId="12" borderId="0" xfId="0" applyNumberFormat="1" applyFont="1" applyFill="1" applyAlignment="1">
      <alignment horizontal="center" vertical="center"/>
    </xf>
    <xf numFmtId="9" fontId="0" fillId="14" borderId="0" xfId="7" applyFont="1" applyFill="1" applyBorder="1" applyAlignment="1">
      <alignment horizontal="center" vertical="center"/>
    </xf>
    <xf numFmtId="10" fontId="34" fillId="0" borderId="0" xfId="0" applyNumberFormat="1" applyFont="1" applyAlignment="1">
      <alignment vertical="center"/>
    </xf>
    <xf numFmtId="0" fontId="27" fillId="0" borderId="0" xfId="0" applyFont="1" applyAlignment="1">
      <alignment horizontal="right" vertical="center"/>
    </xf>
    <xf numFmtId="0" fontId="34" fillId="12" borderId="0" xfId="0" applyFont="1" applyFill="1" applyAlignment="1">
      <alignment vertical="center"/>
    </xf>
    <xf numFmtId="0" fontId="27" fillId="0" borderId="0" xfId="0" applyFont="1" applyAlignment="1">
      <alignment vertical="center" wrapText="1"/>
    </xf>
    <xf numFmtId="0" fontId="37" fillId="12" borderId="0" xfId="0" applyFont="1" applyFill="1" applyAlignment="1">
      <alignment horizontal="center" vertical="center"/>
    </xf>
    <xf numFmtId="9" fontId="3" fillId="12" borderId="0" xfId="0" applyNumberFormat="1" applyFont="1" applyFill="1" applyAlignment="1">
      <alignment horizontal="center" vertical="center"/>
    </xf>
    <xf numFmtId="165" fontId="0" fillId="14" borderId="0" xfId="7" applyNumberFormat="1" applyFont="1" applyFill="1" applyBorder="1" applyAlignment="1">
      <alignment horizontal="center" vertical="center"/>
    </xf>
    <xf numFmtId="0" fontId="43" fillId="0" borderId="0" xfId="0" applyFont="1" applyAlignment="1">
      <alignment vertical="center"/>
    </xf>
    <xf numFmtId="0" fontId="34" fillId="0" borderId="0" xfId="0" applyFont="1" applyAlignment="1">
      <alignment horizontal="left" vertical="center"/>
    </xf>
    <xf numFmtId="0" fontId="50" fillId="0" borderId="0" xfId="0" applyFont="1" applyAlignment="1">
      <alignment vertical="center"/>
    </xf>
    <xf numFmtId="0" fontId="0" fillId="12" borderId="0" xfId="0" applyFill="1" applyAlignment="1">
      <alignment vertical="center"/>
    </xf>
    <xf numFmtId="0" fontId="34" fillId="0" borderId="0" xfId="0" applyFont="1" applyAlignment="1">
      <alignment vertical="center" wrapText="1"/>
    </xf>
    <xf numFmtId="164" fontId="34" fillId="0" borderId="0" xfId="0" applyNumberFormat="1" applyFont="1" applyAlignment="1">
      <alignment vertical="center"/>
    </xf>
    <xf numFmtId="10" fontId="34" fillId="13" borderId="0" xfId="7" applyNumberFormat="1" applyFont="1" applyFill="1" applyBorder="1" applyAlignment="1">
      <alignment vertical="center"/>
    </xf>
    <xf numFmtId="0" fontId="44" fillId="0" borderId="0" xfId="0" applyFont="1" applyAlignment="1">
      <alignment vertical="center"/>
    </xf>
    <xf numFmtId="10" fontId="34" fillId="0" borderId="0" xfId="7" applyNumberFormat="1" applyFont="1" applyFill="1" applyBorder="1" applyAlignment="1">
      <alignment horizontal="right" vertical="center"/>
    </xf>
    <xf numFmtId="10" fontId="34" fillId="0" borderId="0" xfId="7" applyNumberFormat="1" applyFont="1" applyFill="1" applyBorder="1" applyAlignment="1">
      <alignment vertical="center"/>
    </xf>
    <xf numFmtId="0" fontId="34" fillId="12" borderId="0" xfId="0" applyFont="1" applyFill="1" applyAlignment="1">
      <alignment vertical="center" wrapText="1"/>
    </xf>
    <xf numFmtId="0" fontId="34" fillId="0" borderId="0" xfId="0" applyFont="1" applyAlignment="1">
      <alignment horizontal="right" vertical="center"/>
    </xf>
    <xf numFmtId="49" fontId="34" fillId="12" borderId="0" xfId="0" applyNumberFormat="1" applyFont="1" applyFill="1" applyAlignment="1">
      <alignment vertical="center"/>
    </xf>
    <xf numFmtId="0" fontId="3" fillId="12" borderId="0" xfId="0" applyFont="1" applyFill="1" applyAlignment="1">
      <alignment vertical="center"/>
    </xf>
    <xf numFmtId="10" fontId="34" fillId="0" borderId="0" xfId="7" applyNumberFormat="1" applyFont="1" applyBorder="1" applyAlignment="1">
      <alignment horizontal="right" vertical="center"/>
    </xf>
    <xf numFmtId="164" fontId="34" fillId="0" borderId="0" xfId="0" applyNumberFormat="1" applyFont="1" applyAlignment="1">
      <alignment horizontal="right" vertical="center"/>
    </xf>
    <xf numFmtId="0" fontId="3" fillId="0" borderId="0" xfId="0" applyFont="1" applyAlignment="1">
      <alignment horizontal="left" vertical="center"/>
    </xf>
    <xf numFmtId="0" fontId="45" fillId="0" borderId="0" xfId="0" applyFont="1" applyAlignment="1">
      <alignment vertical="center"/>
    </xf>
    <xf numFmtId="0" fontId="47" fillId="0" borderId="0" xfId="0" applyFont="1" applyAlignment="1">
      <alignment horizontal="left" vertical="center"/>
    </xf>
    <xf numFmtId="164" fontId="50" fillId="0" borderId="0" xfId="0" applyNumberFormat="1" applyFont="1" applyAlignment="1">
      <alignment vertical="center"/>
    </xf>
    <xf numFmtId="0" fontId="34" fillId="0" borderId="0" xfId="0" applyFont="1" applyAlignment="1">
      <alignment horizontal="center" vertical="center"/>
    </xf>
    <xf numFmtId="164" fontId="34" fillId="0" borderId="0" xfId="7" applyNumberFormat="1" applyFont="1" applyFill="1" applyBorder="1" applyAlignment="1">
      <alignment horizontal="right" vertical="center"/>
    </xf>
    <xf numFmtId="166" fontId="59" fillId="17" borderId="0" xfId="0" applyNumberFormat="1" applyFont="1" applyFill="1" applyAlignment="1" applyProtection="1">
      <alignment vertical="center"/>
      <protection locked="0" hidden="1"/>
    </xf>
    <xf numFmtId="2" fontId="0" fillId="18" borderId="0" xfId="0" applyNumberFormat="1" applyFill="1"/>
    <xf numFmtId="2" fontId="0" fillId="20" borderId="0" xfId="0" applyNumberFormat="1" applyFill="1"/>
    <xf numFmtId="0" fontId="34" fillId="0" borderId="0" xfId="4" applyFont="1" applyAlignment="1">
      <alignment horizontal="center" vertical="center"/>
    </xf>
    <xf numFmtId="0" fontId="34" fillId="0" borderId="0" xfId="4" applyFont="1" applyAlignment="1">
      <alignment vertical="center"/>
    </xf>
    <xf numFmtId="0" fontId="37" fillId="0" borderId="0" xfId="5" applyFont="1" applyFill="1" applyBorder="1" applyAlignment="1">
      <alignment vertical="center" wrapText="1"/>
    </xf>
    <xf numFmtId="14" fontId="31" fillId="0" borderId="0" xfId="0" quotePrefix="1" applyNumberFormat="1" applyFont="1" applyAlignment="1" applyProtection="1">
      <alignment horizontal="left" vertical="center"/>
      <protection hidden="1"/>
    </xf>
    <xf numFmtId="1" fontId="9" fillId="2" borderId="0" xfId="0" applyNumberFormat="1" applyFont="1" applyFill="1" applyAlignment="1" applyProtection="1">
      <alignment horizontal="center" vertical="center"/>
      <protection locked="0" hidden="1"/>
    </xf>
    <xf numFmtId="49" fontId="34" fillId="0" borderId="0" xfId="0" applyNumberFormat="1" applyFont="1" applyAlignment="1">
      <alignment horizontal="right" vertical="center"/>
    </xf>
    <xf numFmtId="0" fontId="48" fillId="0" borderId="0" xfId="0" applyFont="1" applyAlignment="1">
      <alignment horizontal="center" vertical="center"/>
    </xf>
    <xf numFmtId="0" fontId="3" fillId="0" borderId="0" xfId="0" applyFont="1" applyAlignment="1">
      <alignment horizontal="right" vertical="center"/>
    </xf>
    <xf numFmtId="0" fontId="28" fillId="0" borderId="0" xfId="0" applyFont="1" applyAlignment="1">
      <alignment horizontal="center" vertical="center"/>
    </xf>
    <xf numFmtId="0" fontId="58" fillId="0" borderId="0" xfId="0" applyFont="1" applyAlignment="1">
      <alignment vertical="center"/>
    </xf>
    <xf numFmtId="0" fontId="34" fillId="0" borderId="0" xfId="4" applyFont="1" applyAlignment="1">
      <alignment vertical="center" wrapText="1"/>
    </xf>
    <xf numFmtId="0" fontId="58" fillId="11" borderId="0" xfId="0" applyFont="1" applyFill="1" applyAlignment="1">
      <alignment vertical="center"/>
    </xf>
    <xf numFmtId="0" fontId="34" fillId="11" borderId="0" xfId="0" applyFont="1" applyFill="1" applyAlignment="1">
      <alignment vertical="center"/>
    </xf>
    <xf numFmtId="0" fontId="37" fillId="0" borderId="0" xfId="0" applyFont="1" applyAlignment="1">
      <alignment horizontal="left" vertical="center"/>
    </xf>
    <xf numFmtId="1" fontId="37" fillId="0" borderId="0" xfId="0" applyNumberFormat="1" applyFont="1" applyAlignment="1">
      <alignment horizontal="center" vertical="center" wrapText="1"/>
    </xf>
    <xf numFmtId="173" fontId="30" fillId="0" borderId="0" xfId="0" applyNumberFormat="1" applyFont="1" applyAlignment="1">
      <alignment horizontal="center" vertical="center"/>
    </xf>
    <xf numFmtId="0" fontId="30" fillId="0" borderId="0" xfId="0" applyFont="1" applyAlignment="1">
      <alignment horizontal="center" vertical="center"/>
    </xf>
    <xf numFmtId="0" fontId="46" fillId="0" borderId="0" xfId="0" applyFont="1" applyAlignment="1">
      <alignment vertical="center"/>
    </xf>
    <xf numFmtId="0" fontId="4" fillId="19" borderId="0" xfId="0" applyFont="1" applyFill="1" applyAlignment="1" applyProtection="1">
      <alignment vertical="center"/>
      <protection hidden="1"/>
    </xf>
    <xf numFmtId="0" fontId="3" fillId="14" borderId="0" xfId="0" applyFont="1" applyFill="1" applyAlignment="1" applyProtection="1">
      <alignment vertical="center"/>
      <protection hidden="1"/>
    </xf>
    <xf numFmtId="0" fontId="7" fillId="0" borderId="0" xfId="0" applyFont="1" applyAlignment="1" applyProtection="1">
      <alignment vertical="center"/>
      <protection hidden="1"/>
    </xf>
    <xf numFmtId="0" fontId="4" fillId="12" borderId="0" xfId="0" applyFont="1" applyFill="1" applyAlignment="1" applyProtection="1">
      <alignment vertical="center"/>
      <protection hidden="1"/>
    </xf>
    <xf numFmtId="0" fontId="13" fillId="14" borderId="0" xfId="0" applyFont="1" applyFill="1" applyAlignment="1" applyProtection="1">
      <alignment horizontal="right" vertical="center"/>
      <protection hidden="1"/>
    </xf>
    <xf numFmtId="0" fontId="13" fillId="19" borderId="0" xfId="0" applyFont="1" applyFill="1" applyAlignment="1" applyProtection="1">
      <alignment horizontal="right" vertical="center"/>
      <protection hidden="1"/>
    </xf>
    <xf numFmtId="0" fontId="5" fillId="19" borderId="0" xfId="0" applyFont="1" applyFill="1" applyAlignment="1" applyProtection="1">
      <alignment horizontal="center" vertical="center"/>
      <protection hidden="1"/>
    </xf>
    <xf numFmtId="0" fontId="34" fillId="0" borderId="0" xfId="4" applyFont="1" applyAlignment="1">
      <alignment horizontal="left" vertical="center"/>
    </xf>
    <xf numFmtId="0" fontId="34" fillId="12" borderId="0" xfId="4" applyFont="1" applyFill="1" applyAlignment="1">
      <alignment horizontal="left" vertical="center" wrapText="1"/>
    </xf>
    <xf numFmtId="0" fontId="34" fillId="0" borderId="0" xfId="4" applyFont="1" applyAlignment="1">
      <alignment horizontal="left" vertical="center" wrapText="1"/>
    </xf>
    <xf numFmtId="0" fontId="34" fillId="14" borderId="0" xfId="4" applyFont="1" applyFill="1" applyAlignment="1">
      <alignment horizontal="left" vertical="center"/>
    </xf>
    <xf numFmtId="0" fontId="34" fillId="19" borderId="0" xfId="4" applyFont="1" applyFill="1" applyAlignment="1">
      <alignment horizontal="left" vertical="center"/>
    </xf>
    <xf numFmtId="0" fontId="5" fillId="19" borderId="0" xfId="4" applyFont="1" applyFill="1" applyAlignment="1" applyProtection="1">
      <alignment horizontal="center" vertical="center"/>
      <protection hidden="1"/>
    </xf>
    <xf numFmtId="0" fontId="5" fillId="0" borderId="0" xfId="4" applyFont="1" applyAlignment="1" applyProtection="1">
      <alignment horizontal="left" vertical="center"/>
      <protection hidden="1"/>
    </xf>
    <xf numFmtId="0" fontId="3" fillId="0" borderId="0" xfId="4" applyFont="1" applyAlignment="1">
      <alignment horizontal="left" vertical="center" wrapText="1"/>
    </xf>
    <xf numFmtId="0" fontId="30" fillId="0" borderId="0" xfId="4" applyFont="1" applyAlignment="1">
      <alignment horizontal="center" vertical="center"/>
    </xf>
    <xf numFmtId="9" fontId="34" fillId="14" borderId="0" xfId="7" applyFont="1" applyFill="1" applyAlignment="1">
      <alignment horizontal="left" vertical="center"/>
    </xf>
    <xf numFmtId="0" fontId="34" fillId="19" borderId="0" xfId="7" applyNumberFormat="1" applyFont="1" applyFill="1" applyAlignment="1">
      <alignment horizontal="right" vertical="center"/>
    </xf>
    <xf numFmtId="9" fontId="34" fillId="0" borderId="0" xfId="7" applyFont="1" applyBorder="1" applyAlignment="1">
      <alignment horizontal="right" vertical="center"/>
    </xf>
    <xf numFmtId="0" fontId="34" fillId="19" borderId="0" xfId="4" applyFont="1" applyFill="1" applyAlignment="1">
      <alignment horizontal="right" vertical="center"/>
    </xf>
    <xf numFmtId="169" fontId="3" fillId="0" borderId="0" xfId="4" quotePrefix="1" applyNumberFormat="1" applyFont="1" applyAlignment="1">
      <alignment horizontal="left" vertical="center" wrapText="1"/>
    </xf>
    <xf numFmtId="0" fontId="37" fillId="14" borderId="0" xfId="4" applyFont="1" applyFill="1" applyAlignment="1">
      <alignment horizontal="right" vertical="center"/>
    </xf>
    <xf numFmtId="0" fontId="37" fillId="19" borderId="0" xfId="4" applyFont="1" applyFill="1" applyAlignment="1">
      <alignment horizontal="right" vertical="center"/>
    </xf>
    <xf numFmtId="0" fontId="34" fillId="14" borderId="0" xfId="4" applyFont="1" applyFill="1" applyAlignment="1">
      <alignment horizontal="right" vertical="center"/>
    </xf>
    <xf numFmtId="0" fontId="27" fillId="0" borderId="0" xfId="4" applyFont="1" applyAlignment="1">
      <alignment horizontal="center" vertical="center"/>
    </xf>
    <xf numFmtId="0" fontId="3" fillId="0" borderId="0" xfId="4" applyFont="1" applyAlignment="1">
      <alignment vertical="center" wrapText="1"/>
    </xf>
    <xf numFmtId="0" fontId="27" fillId="12" borderId="0" xfId="4" applyFont="1" applyFill="1" applyAlignment="1">
      <alignment horizontal="left" vertical="center" wrapText="1"/>
    </xf>
    <xf numFmtId="0" fontId="27" fillId="0" borderId="0" xfId="4" applyFont="1" applyAlignment="1">
      <alignment horizontal="left" vertical="center" wrapText="1"/>
    </xf>
    <xf numFmtId="168" fontId="3" fillId="0" borderId="0" xfId="4" quotePrefix="1" applyNumberFormat="1" applyFont="1" applyAlignment="1">
      <alignment horizontal="left" vertical="center" wrapText="1"/>
    </xf>
    <xf numFmtId="165" fontId="3" fillId="0" borderId="0" xfId="4" applyNumberFormat="1" applyFont="1" applyAlignment="1" applyProtection="1">
      <alignment vertical="center"/>
      <protection hidden="1"/>
    </xf>
    <xf numFmtId="0" fontId="3" fillId="19" borderId="0" xfId="0" applyFont="1" applyFill="1" applyAlignment="1" applyProtection="1">
      <alignment vertical="center"/>
      <protection hidden="1"/>
    </xf>
    <xf numFmtId="0" fontId="36" fillId="14" borderId="0" xfId="4" applyFont="1" applyFill="1" applyAlignment="1">
      <alignment horizontal="left" vertical="center"/>
    </xf>
    <xf numFmtId="0" fontId="36" fillId="0" borderId="0" xfId="4" applyFont="1" applyAlignment="1">
      <alignment horizontal="left" vertical="center"/>
    </xf>
    <xf numFmtId="0" fontId="3" fillId="18" borderId="0" xfId="4" applyFont="1" applyFill="1" applyAlignment="1">
      <alignment horizontal="right" vertical="center"/>
    </xf>
    <xf numFmtId="0" fontId="3" fillId="18" borderId="0" xfId="4" applyFont="1" applyFill="1" applyAlignment="1">
      <alignment horizontal="left" vertical="center"/>
    </xf>
    <xf numFmtId="0" fontId="6" fillId="7" borderId="0" xfId="8" applyFont="1" applyFill="1" applyAlignment="1" applyProtection="1">
      <alignment horizontal="left" vertical="center"/>
      <protection hidden="1"/>
    </xf>
    <xf numFmtId="0" fontId="4" fillId="7" borderId="0" xfId="8" applyFont="1" applyFill="1" applyAlignment="1" applyProtection="1">
      <alignment vertical="center"/>
      <protection hidden="1"/>
    </xf>
    <xf numFmtId="0" fontId="6" fillId="7" borderId="0" xfId="8" applyFont="1" applyFill="1" applyAlignment="1" applyProtection="1">
      <alignment vertical="center"/>
      <protection hidden="1"/>
    </xf>
    <xf numFmtId="0" fontId="13" fillId="7" borderId="0" xfId="8" applyFont="1" applyFill="1" applyAlignment="1" applyProtection="1">
      <alignment horizontal="right" vertical="center"/>
      <protection hidden="1"/>
    </xf>
    <xf numFmtId="164" fontId="13" fillId="7" borderId="0" xfId="8" applyNumberFormat="1" applyFont="1" applyFill="1" applyAlignment="1" applyProtection="1">
      <alignment horizontal="center" vertical="center"/>
      <protection hidden="1"/>
    </xf>
    <xf numFmtId="164" fontId="21" fillId="7" borderId="0" xfId="8" applyNumberFormat="1" applyFont="1" applyFill="1" applyAlignment="1" applyProtection="1">
      <alignment horizontal="center" vertical="center"/>
      <protection hidden="1"/>
    </xf>
    <xf numFmtId="0" fontId="32" fillId="7" borderId="0" xfId="8" applyFont="1" applyFill="1" applyAlignment="1" applyProtection="1">
      <alignment vertical="center"/>
      <protection hidden="1"/>
    </xf>
    <xf numFmtId="0" fontId="6" fillId="18" borderId="0" xfId="4" applyFont="1" applyFill="1" applyAlignment="1">
      <alignment vertical="center"/>
    </xf>
    <xf numFmtId="0" fontId="55" fillId="0" borderId="0" xfId="4" applyFont="1" applyAlignment="1">
      <alignment horizontal="center" vertical="center"/>
    </xf>
    <xf numFmtId="0" fontId="6" fillId="0" borderId="0" xfId="4" applyFont="1" applyAlignment="1">
      <alignment vertical="center"/>
    </xf>
    <xf numFmtId="0" fontId="6" fillId="14" borderId="0" xfId="0" applyFont="1" applyFill="1" applyAlignment="1" applyProtection="1">
      <alignment vertical="center"/>
      <protection hidden="1"/>
    </xf>
    <xf numFmtId="0" fontId="6" fillId="19" borderId="0" xfId="0" applyFont="1" applyFill="1" applyAlignment="1" applyProtection="1">
      <alignment vertical="center"/>
      <protection hidden="1"/>
    </xf>
    <xf numFmtId="0" fontId="6" fillId="14" borderId="0" xfId="0" applyFont="1" applyFill="1" applyAlignment="1" applyProtection="1">
      <alignment horizontal="right" vertical="center"/>
      <protection hidden="1"/>
    </xf>
    <xf numFmtId="0" fontId="6" fillId="19" borderId="0" xfId="0" applyFont="1" applyFill="1" applyAlignment="1" applyProtection="1">
      <alignment horizontal="right" vertical="center"/>
      <protection hidden="1"/>
    </xf>
    <xf numFmtId="0" fontId="6" fillId="19" borderId="0" xfId="0" applyFont="1" applyFill="1" applyAlignment="1" applyProtection="1">
      <alignment horizontal="center" vertical="center"/>
      <protection hidden="1"/>
    </xf>
    <xf numFmtId="0" fontId="6" fillId="0" borderId="0" xfId="0" applyFont="1" applyAlignment="1" applyProtection="1">
      <alignment horizontal="center" vertical="center"/>
      <protection hidden="1"/>
    </xf>
    <xf numFmtId="0" fontId="6" fillId="0" borderId="0" xfId="0" applyFont="1" applyAlignment="1" applyProtection="1">
      <alignment vertical="center"/>
      <protection hidden="1"/>
    </xf>
    <xf numFmtId="0" fontId="6" fillId="0" borderId="0" xfId="0" applyFont="1" applyAlignment="1">
      <alignment vertical="center"/>
    </xf>
    <xf numFmtId="170" fontId="8" fillId="0" borderId="0" xfId="8" applyNumberFormat="1" applyFont="1" applyAlignment="1" applyProtection="1">
      <alignment horizontal="center"/>
      <protection hidden="1"/>
    </xf>
    <xf numFmtId="1" fontId="9" fillId="0" borderId="0" xfId="8" applyNumberFormat="1" applyFont="1" applyAlignment="1" applyProtection="1">
      <alignment horizontal="center"/>
      <protection hidden="1"/>
    </xf>
    <xf numFmtId="170" fontId="19" fillId="0" borderId="0" xfId="8" applyNumberFormat="1" applyFont="1" applyAlignment="1" applyProtection="1">
      <alignment horizontal="center"/>
      <protection hidden="1"/>
    </xf>
    <xf numFmtId="164" fontId="8" fillId="0" borderId="0" xfId="8" applyNumberFormat="1" applyFont="1" applyAlignment="1" applyProtection="1">
      <alignment horizontal="center"/>
      <protection hidden="1"/>
    </xf>
    <xf numFmtId="164" fontId="9" fillId="2" borderId="0" xfId="8" applyNumberFormat="1" applyFont="1" applyFill="1" applyAlignment="1" applyProtection="1">
      <alignment horizontal="center"/>
      <protection locked="0" hidden="1"/>
    </xf>
    <xf numFmtId="0" fontId="6" fillId="16" borderId="0" xfId="0" applyFont="1" applyFill="1" applyAlignment="1" applyProtection="1">
      <alignment vertical="center"/>
      <protection hidden="1"/>
    </xf>
    <xf numFmtId="2" fontId="3" fillId="16" borderId="0" xfId="0" applyNumberFormat="1" applyFont="1" applyFill="1" applyAlignment="1" applyProtection="1">
      <alignment horizontal="center" vertical="center"/>
      <protection hidden="1"/>
    </xf>
    <xf numFmtId="0" fontId="6" fillId="16" borderId="0" xfId="0" applyFont="1" applyFill="1" applyAlignment="1" applyProtection="1">
      <alignment horizontal="center" vertical="center"/>
      <protection hidden="1"/>
    </xf>
    <xf numFmtId="2" fontId="21" fillId="16" borderId="0" xfId="0" applyNumberFormat="1" applyFont="1" applyFill="1" applyAlignment="1" applyProtection="1">
      <alignment horizontal="right" vertical="center"/>
      <protection hidden="1"/>
    </xf>
    <xf numFmtId="0" fontId="2" fillId="16" borderId="0" xfId="4" applyFont="1" applyFill="1" applyAlignment="1" applyProtection="1">
      <alignment horizontal="right" vertical="center"/>
      <protection hidden="1"/>
    </xf>
    <xf numFmtId="0" fontId="34" fillId="16" borderId="0" xfId="4" applyFont="1" applyFill="1" applyAlignment="1">
      <alignment horizontal="left" vertical="center" wrapText="1"/>
    </xf>
    <xf numFmtId="0" fontId="0" fillId="16" borderId="0" xfId="0" applyFill="1" applyAlignment="1">
      <alignment vertical="center"/>
    </xf>
    <xf numFmtId="0" fontId="30" fillId="16" borderId="0" xfId="4" applyFont="1" applyFill="1" applyAlignment="1">
      <alignment horizontal="center" vertical="center"/>
    </xf>
    <xf numFmtId="0" fontId="3" fillId="16" borderId="0" xfId="4" applyFont="1" applyFill="1" applyAlignment="1" applyProtection="1">
      <alignment vertical="center"/>
      <protection hidden="1"/>
    </xf>
    <xf numFmtId="0" fontId="41" fillId="16" borderId="0" xfId="0" applyFont="1" applyFill="1" applyAlignment="1">
      <alignment vertical="center"/>
    </xf>
    <xf numFmtId="0" fontId="3" fillId="16" borderId="0" xfId="0" applyFont="1" applyFill="1" applyAlignment="1" applyProtection="1">
      <alignment vertical="center"/>
      <protection hidden="1"/>
    </xf>
    <xf numFmtId="0" fontId="2" fillId="16" borderId="0" xfId="0" applyFont="1" applyFill="1" applyAlignment="1" applyProtection="1">
      <alignment horizontal="right" vertical="center"/>
      <protection hidden="1"/>
    </xf>
    <xf numFmtId="0" fontId="36" fillId="16" borderId="0" xfId="4" applyFont="1" applyFill="1" applyAlignment="1">
      <alignment horizontal="left" vertical="center"/>
    </xf>
    <xf numFmtId="2" fontId="41" fillId="16" borderId="0" xfId="0" applyNumberFormat="1" applyFont="1" applyFill="1" applyAlignment="1">
      <alignment horizontal="center" vertical="center"/>
    </xf>
    <xf numFmtId="0" fontId="61" fillId="0" borderId="0" xfId="0" applyFont="1" applyAlignment="1">
      <alignment vertical="center"/>
    </xf>
    <xf numFmtId="0" fontId="6" fillId="16" borderId="0" xfId="0" applyFont="1" applyFill="1" applyAlignment="1">
      <alignment vertical="center"/>
    </xf>
    <xf numFmtId="0" fontId="62" fillId="16" borderId="0" xfId="0" applyFont="1" applyFill="1" applyAlignment="1">
      <alignment vertical="center" wrapText="1"/>
    </xf>
    <xf numFmtId="0" fontId="60" fillId="16" borderId="0" xfId="0" applyFont="1" applyFill="1" applyAlignment="1">
      <alignment horizontal="right" vertical="center"/>
    </xf>
    <xf numFmtId="2" fontId="60" fillId="16" borderId="0" xfId="0" applyNumberFormat="1" applyFont="1" applyFill="1" applyAlignment="1">
      <alignment vertical="center"/>
    </xf>
    <xf numFmtId="0" fontId="3" fillId="16" borderId="0" xfId="0" applyFont="1" applyFill="1" applyAlignment="1">
      <alignment horizontal="right" vertical="center"/>
    </xf>
    <xf numFmtId="2" fontId="3" fillId="16" borderId="0" xfId="0" applyNumberFormat="1" applyFont="1" applyFill="1" applyAlignment="1">
      <alignment vertical="center"/>
    </xf>
    <xf numFmtId="0" fontId="60" fillId="16" borderId="0" xfId="0" applyFont="1" applyFill="1" applyAlignment="1">
      <alignment vertical="center"/>
    </xf>
    <xf numFmtId="2" fontId="21" fillId="16" borderId="0" xfId="0" applyNumberFormat="1" applyFont="1" applyFill="1" applyAlignment="1" applyProtection="1">
      <alignment horizontal="center" vertical="center"/>
      <protection hidden="1"/>
    </xf>
    <xf numFmtId="0" fontId="56" fillId="16" borderId="0" xfId="0" applyFont="1" applyFill="1" applyAlignment="1">
      <alignment vertical="center"/>
    </xf>
    <xf numFmtId="0" fontId="56" fillId="16" borderId="0" xfId="0" applyFont="1" applyFill="1" applyAlignment="1">
      <alignment vertical="center" wrapText="1"/>
    </xf>
    <xf numFmtId="0" fontId="37" fillId="16" borderId="0" xfId="0" applyFont="1" applyFill="1" applyAlignment="1">
      <alignment vertical="center"/>
    </xf>
    <xf numFmtId="0" fontId="57" fillId="0" borderId="0" xfId="0" applyFont="1" applyAlignment="1">
      <alignment vertical="center"/>
    </xf>
    <xf numFmtId="0" fontId="57" fillId="16" borderId="0" xfId="0" applyFont="1" applyFill="1" applyAlignment="1">
      <alignment vertical="center"/>
    </xf>
    <xf numFmtId="0" fontId="34" fillId="16" borderId="0" xfId="0" applyFont="1" applyFill="1" applyAlignment="1">
      <alignment vertical="center"/>
    </xf>
    <xf numFmtId="0" fontId="34" fillId="16" borderId="0" xfId="0" applyFont="1" applyFill="1" applyAlignment="1">
      <alignment horizontal="right" vertical="center"/>
    </xf>
    <xf numFmtId="0" fontId="58" fillId="16" borderId="0" xfId="0" applyFont="1" applyFill="1" applyAlignment="1">
      <alignment vertical="center"/>
    </xf>
    <xf numFmtId="0" fontId="58" fillId="16" borderId="0" xfId="0" applyFont="1" applyFill="1" applyAlignment="1">
      <alignment horizontal="left" vertical="center"/>
    </xf>
    <xf numFmtId="0" fontId="48" fillId="16" borderId="0" xfId="0" applyFont="1" applyFill="1" applyAlignment="1">
      <alignment vertical="center"/>
    </xf>
    <xf numFmtId="0" fontId="56" fillId="16" borderId="0" xfId="0" applyFont="1" applyFill="1" applyAlignment="1">
      <alignment horizontal="center" vertical="center"/>
    </xf>
    <xf numFmtId="0" fontId="53" fillId="16" borderId="0" xfId="0" applyFont="1" applyFill="1" applyAlignment="1">
      <alignment vertical="center"/>
    </xf>
    <xf numFmtId="0" fontId="13" fillId="23" borderId="0" xfId="8" applyFont="1" applyFill="1" applyProtection="1">
      <protection hidden="1"/>
    </xf>
    <xf numFmtId="0" fontId="4" fillId="23" borderId="0" xfId="8" applyFont="1" applyFill="1" applyProtection="1">
      <protection hidden="1"/>
    </xf>
    <xf numFmtId="0" fontId="5" fillId="23" borderId="0" xfId="8" applyFont="1" applyFill="1" applyProtection="1">
      <protection hidden="1"/>
    </xf>
    <xf numFmtId="0" fontId="13" fillId="23" borderId="0" xfId="8" applyFont="1" applyFill="1" applyAlignment="1" applyProtection="1">
      <alignment horizontal="right"/>
      <protection hidden="1"/>
    </xf>
    <xf numFmtId="2" fontId="13" fillId="23" borderId="0" xfId="8" applyNumberFormat="1" applyFont="1" applyFill="1" applyAlignment="1" applyProtection="1">
      <alignment horizontal="center"/>
      <protection hidden="1"/>
    </xf>
    <xf numFmtId="2" fontId="10" fillId="23" borderId="0" xfId="8" applyNumberFormat="1" applyFont="1" applyFill="1" applyAlignment="1" applyProtection="1">
      <alignment horizontal="center"/>
      <protection hidden="1"/>
    </xf>
    <xf numFmtId="2" fontId="13" fillId="23" borderId="0" xfId="8" applyNumberFormat="1" applyFont="1" applyFill="1" applyAlignment="1" applyProtection="1">
      <alignment horizontal="left"/>
      <protection hidden="1"/>
    </xf>
    <xf numFmtId="0" fontId="7" fillId="16" borderId="0" xfId="8" applyFont="1" applyFill="1" applyProtection="1">
      <protection hidden="1"/>
    </xf>
    <xf numFmtId="0" fontId="4" fillId="16" borderId="0" xfId="8" applyFont="1" applyFill="1" applyProtection="1">
      <protection hidden="1"/>
    </xf>
    <xf numFmtId="2" fontId="7" fillId="16" borderId="0" xfId="8" applyNumberFormat="1" applyFont="1" applyFill="1" applyAlignment="1" applyProtection="1">
      <alignment horizontal="center"/>
      <protection hidden="1"/>
    </xf>
    <xf numFmtId="0" fontId="5" fillId="16" borderId="0" xfId="8" applyFont="1" applyFill="1" applyAlignment="1" applyProtection="1">
      <alignment horizontal="left"/>
      <protection hidden="1"/>
    </xf>
    <xf numFmtId="0" fontId="3" fillId="16" borderId="0" xfId="8" applyFont="1" applyFill="1" applyAlignment="1" applyProtection="1">
      <alignment horizontal="center"/>
      <protection hidden="1"/>
    </xf>
    <xf numFmtId="0" fontId="5" fillId="16" borderId="0" xfId="8" applyFont="1" applyFill="1" applyAlignment="1" applyProtection="1">
      <alignment horizontal="center"/>
      <protection hidden="1"/>
    </xf>
    <xf numFmtId="0" fontId="13" fillId="16" borderId="0" xfId="8" applyFont="1" applyFill="1" applyAlignment="1" applyProtection="1">
      <alignment horizontal="right"/>
      <protection hidden="1"/>
    </xf>
    <xf numFmtId="0" fontId="3" fillId="16" borderId="0" xfId="8" applyFont="1" applyFill="1" applyProtection="1">
      <protection hidden="1"/>
    </xf>
    <xf numFmtId="164" fontId="7" fillId="16" borderId="0" xfId="8" applyNumberFormat="1" applyFont="1" applyFill="1" applyAlignment="1" applyProtection="1">
      <alignment horizontal="center"/>
      <protection hidden="1"/>
    </xf>
    <xf numFmtId="0" fontId="4" fillId="16" borderId="0" xfId="8" applyFont="1" applyFill="1" applyAlignment="1" applyProtection="1">
      <alignment horizontal="center"/>
      <protection hidden="1"/>
    </xf>
    <xf numFmtId="0" fontId="5" fillId="16" borderId="0" xfId="8" applyFont="1" applyFill="1" applyProtection="1">
      <protection hidden="1"/>
    </xf>
    <xf numFmtId="0" fontId="9" fillId="16" borderId="0" xfId="8" applyFont="1" applyFill="1" applyProtection="1">
      <protection hidden="1"/>
    </xf>
    <xf numFmtId="0" fontId="6" fillId="23" borderId="0" xfId="8" applyFont="1" applyFill="1" applyAlignment="1" applyProtection="1">
      <alignment horizontal="left" vertical="center"/>
      <protection hidden="1"/>
    </xf>
    <xf numFmtId="0" fontId="4" fillId="23" borderId="0" xfId="8" applyFont="1" applyFill="1" applyAlignment="1" applyProtection="1">
      <alignment vertical="center"/>
      <protection hidden="1"/>
    </xf>
    <xf numFmtId="0" fontId="6" fillId="23" borderId="0" xfId="8" applyFont="1" applyFill="1" applyAlignment="1" applyProtection="1">
      <alignment vertical="center"/>
      <protection hidden="1"/>
    </xf>
    <xf numFmtId="0" fontId="13" fillId="23" borderId="0" xfId="8" applyFont="1" applyFill="1" applyAlignment="1" applyProtection="1">
      <alignment horizontal="right" vertical="center"/>
      <protection hidden="1"/>
    </xf>
    <xf numFmtId="164" fontId="13" fillId="23" borderId="0" xfId="8" applyNumberFormat="1" applyFont="1" applyFill="1" applyAlignment="1" applyProtection="1">
      <alignment horizontal="center" vertical="center"/>
      <protection hidden="1"/>
    </xf>
    <xf numFmtId="0" fontId="4" fillId="23" borderId="0" xfId="8" applyFont="1" applyFill="1" applyAlignment="1" applyProtection="1">
      <alignment horizontal="center" vertical="center"/>
      <protection hidden="1"/>
    </xf>
    <xf numFmtId="164" fontId="63" fillId="23" borderId="0" xfId="8" applyNumberFormat="1" applyFont="1" applyFill="1" applyAlignment="1" applyProtection="1">
      <alignment horizontal="center" vertical="center"/>
      <protection hidden="1"/>
    </xf>
    <xf numFmtId="0" fontId="37" fillId="0" borderId="0" xfId="0" applyFont="1" applyAlignment="1">
      <alignment horizontal="right" vertical="center"/>
    </xf>
    <xf numFmtId="0" fontId="3" fillId="12" borderId="0" xfId="0" applyFont="1" applyFill="1" applyAlignment="1">
      <alignment horizontal="center" vertical="center" wrapText="1"/>
    </xf>
    <xf numFmtId="0" fontId="0" fillId="12" borderId="0" xfId="0" applyFill="1" applyAlignment="1">
      <alignment horizontal="center" vertical="center"/>
    </xf>
    <xf numFmtId="9" fontId="34" fillId="12" borderId="0" xfId="0" applyNumberFormat="1" applyFont="1" applyFill="1" applyAlignment="1">
      <alignment horizontal="center" vertical="center" wrapText="1"/>
    </xf>
    <xf numFmtId="9" fontId="37" fillId="12" borderId="0" xfId="0" applyNumberFormat="1" applyFont="1" applyFill="1" applyAlignment="1">
      <alignment horizontal="center" vertical="center" wrapText="1"/>
    </xf>
    <xf numFmtId="0" fontId="27" fillId="12" borderId="0" xfId="0" applyFont="1" applyFill="1" applyAlignment="1">
      <alignment horizontal="center" vertical="center"/>
    </xf>
    <xf numFmtId="0" fontId="34" fillId="12" borderId="0" xfId="0" applyFont="1" applyFill="1" applyAlignment="1">
      <alignment horizontal="center" vertical="center" wrapText="1"/>
    </xf>
    <xf numFmtId="49" fontId="34" fillId="12" borderId="0" xfId="0" applyNumberFormat="1" applyFont="1" applyFill="1" applyAlignment="1">
      <alignment horizontal="center" vertical="center"/>
    </xf>
    <xf numFmtId="0" fontId="3" fillId="12" borderId="0" xfId="0" applyFont="1" applyFill="1" applyAlignment="1">
      <alignment horizontal="center" vertical="center"/>
    </xf>
    <xf numFmtId="0" fontId="8" fillId="0" borderId="0" xfId="0" applyFont="1" applyAlignment="1">
      <alignment horizontal="left" vertical="center" wrapText="1"/>
    </xf>
    <xf numFmtId="165" fontId="3" fillId="17" borderId="0" xfId="0" applyNumberFormat="1" applyFont="1" applyFill="1" applyAlignment="1" applyProtection="1">
      <alignment vertical="center"/>
      <protection locked="0" hidden="1"/>
    </xf>
    <xf numFmtId="174" fontId="3" fillId="17" borderId="0" xfId="0" applyNumberFormat="1" applyFont="1" applyFill="1" applyAlignment="1" applyProtection="1">
      <alignment vertical="center"/>
      <protection locked="0" hidden="1"/>
    </xf>
    <xf numFmtId="168" fontId="3" fillId="0" borderId="0" xfId="0" quotePrefix="1" applyNumberFormat="1" applyFont="1" applyAlignment="1">
      <alignment horizontal="left" vertical="top" wrapText="1"/>
    </xf>
    <xf numFmtId="2" fontId="30" fillId="16" borderId="0" xfId="0" applyNumberFormat="1" applyFont="1" applyFill="1" applyAlignment="1">
      <alignment horizontal="right" vertical="center"/>
    </xf>
    <xf numFmtId="0" fontId="34" fillId="12" borderId="0" xfId="4" applyFont="1" applyFill="1" applyAlignment="1">
      <alignment horizontal="left" wrapText="1"/>
    </xf>
    <xf numFmtId="0" fontId="13" fillId="16" borderId="0" xfId="0" applyFont="1" applyFill="1" applyAlignment="1">
      <alignment horizontal="right" vertical="center" wrapText="1"/>
    </xf>
    <xf numFmtId="0" fontId="37" fillId="16" borderId="0" xfId="0" applyFont="1" applyFill="1" applyAlignment="1">
      <alignment horizontal="center" vertical="center"/>
    </xf>
    <xf numFmtId="18" fontId="34" fillId="12" borderId="0" xfId="0" quotePrefix="1" applyNumberFormat="1" applyFont="1" applyFill="1" applyAlignment="1">
      <alignment horizontal="center" vertical="center" wrapText="1"/>
    </xf>
    <xf numFmtId="0" fontId="61" fillId="16" borderId="0" xfId="0" applyFont="1" applyFill="1" applyAlignment="1">
      <alignment vertical="center"/>
    </xf>
    <xf numFmtId="0" fontId="3" fillId="0" borderId="0" xfId="4" applyFont="1" applyAlignment="1">
      <alignment vertical="center"/>
    </xf>
    <xf numFmtId="0" fontId="34" fillId="0" borderId="0" xfId="8" applyFont="1" applyProtection="1">
      <protection hidden="1"/>
    </xf>
    <xf numFmtId="0" fontId="3" fillId="0" borderId="0" xfId="0" applyFont="1" applyAlignment="1">
      <alignment horizontal="left" vertical="center" wrapText="1"/>
    </xf>
    <xf numFmtId="0" fontId="34" fillId="0" borderId="0" xfId="4" quotePrefix="1" applyFont="1" applyAlignment="1">
      <alignment horizontal="left" vertical="center"/>
    </xf>
    <xf numFmtId="0" fontId="33" fillId="0" borderId="0" xfId="8" applyFont="1" applyAlignment="1" applyProtection="1">
      <alignment horizontal="left"/>
      <protection hidden="1"/>
    </xf>
    <xf numFmtId="0" fontId="14" fillId="0" borderId="0" xfId="0" applyFont="1" applyAlignment="1" applyProtection="1">
      <alignment horizontal="left" vertical="center"/>
      <protection hidden="1"/>
    </xf>
    <xf numFmtId="0" fontId="3" fillId="0" borderId="0" xfId="8" applyFont="1" applyAlignment="1" applyProtection="1">
      <alignment horizontal="left" vertical="center"/>
      <protection hidden="1"/>
    </xf>
    <xf numFmtId="0" fontId="3" fillId="0" borderId="0" xfId="0" applyFont="1" applyAlignment="1" applyProtection="1">
      <alignment horizontal="left" vertical="center"/>
      <protection hidden="1"/>
    </xf>
    <xf numFmtId="0" fontId="37" fillId="0" borderId="0" xfId="0" applyFont="1" applyAlignment="1">
      <alignment horizontal="left" vertical="center" wrapText="1"/>
    </xf>
    <xf numFmtId="0" fontId="8" fillId="0" borderId="0" xfId="0" applyFont="1" applyAlignment="1">
      <alignment horizontal="left" vertical="center" wrapText="1"/>
    </xf>
    <xf numFmtId="0" fontId="3" fillId="0" borderId="0" xfId="0" applyFont="1" applyAlignment="1">
      <alignment horizontal="left" vertical="center" wrapText="1"/>
    </xf>
    <xf numFmtId="0" fontId="34" fillId="0" borderId="0" xfId="0" applyFont="1" applyAlignment="1">
      <alignment horizontal="left" vertical="center" wrapText="1"/>
    </xf>
    <xf numFmtId="0" fontId="3" fillId="0" borderId="0" xfId="8" applyFont="1" applyAlignment="1" applyProtection="1">
      <alignment horizontal="left"/>
      <protection hidden="1"/>
    </xf>
    <xf numFmtId="0" fontId="4" fillId="0" borderId="0" xfId="8" applyFont="1" applyAlignment="1" applyProtection="1">
      <alignment horizontal="left"/>
      <protection hidden="1"/>
    </xf>
    <xf numFmtId="0" fontId="4" fillId="2" borderId="0" xfId="8" applyFont="1" applyFill="1" applyAlignment="1" applyProtection="1">
      <alignment horizontal="left"/>
      <protection locked="0" hidden="1"/>
    </xf>
    <xf numFmtId="0" fontId="3" fillId="2" borderId="0" xfId="8" applyFont="1" applyFill="1" applyAlignment="1" applyProtection="1">
      <alignment horizontal="left"/>
      <protection locked="0" hidden="1"/>
    </xf>
    <xf numFmtId="0" fontId="8" fillId="0" borderId="0" xfId="8" applyFont="1" applyAlignment="1" applyProtection="1">
      <alignment horizontal="left"/>
      <protection hidden="1"/>
    </xf>
    <xf numFmtId="0" fontId="4" fillId="0" borderId="0" xfId="8" applyFont="1" applyAlignment="1" applyProtection="1">
      <alignment horizontal="center"/>
      <protection hidden="1"/>
    </xf>
    <xf numFmtId="0" fontId="3" fillId="0" borderId="0" xfId="8" applyFont="1" applyAlignment="1" applyProtection="1">
      <alignment horizontal="left" vertical="top"/>
      <protection hidden="1"/>
    </xf>
    <xf numFmtId="0" fontId="14" fillId="0" borderId="0" xfId="8" applyFont="1" applyAlignment="1" applyProtection="1">
      <alignment horizontal="center"/>
      <protection hidden="1"/>
    </xf>
    <xf numFmtId="0" fontId="3" fillId="0" borderId="0" xfId="8" applyFont="1" applyAlignment="1" applyProtection="1">
      <alignment horizontal="left" vertical="top" wrapText="1"/>
      <protection hidden="1"/>
    </xf>
    <xf numFmtId="0" fontId="29" fillId="0" borderId="0" xfId="8" applyFont="1" applyAlignment="1" applyProtection="1">
      <alignment horizontal="left"/>
      <protection hidden="1"/>
    </xf>
    <xf numFmtId="164" fontId="3" fillId="2" borderId="0" xfId="8" applyNumberFormat="1" applyFont="1" applyFill="1" applyAlignment="1" applyProtection="1">
      <alignment horizontal="left"/>
      <protection locked="0" hidden="1"/>
    </xf>
    <xf numFmtId="0" fontId="3" fillId="0" borderId="0" xfId="8" applyFont="1" applyAlignment="1" applyProtection="1">
      <alignment horizontal="left" wrapText="1"/>
      <protection hidden="1"/>
    </xf>
    <xf numFmtId="0" fontId="4" fillId="2" borderId="0" xfId="8" applyFont="1" applyFill="1" applyAlignment="1" applyProtection="1">
      <alignment horizontal="left" vertical="top" wrapText="1"/>
      <protection locked="0" hidden="1"/>
    </xf>
    <xf numFmtId="0" fontId="3" fillId="0" borderId="0" xfId="8" applyFont="1" applyAlignment="1" applyProtection="1">
      <alignment horizontal="center"/>
      <protection hidden="1"/>
    </xf>
    <xf numFmtId="0" fontId="9" fillId="0" borderId="0" xfId="8" applyFont="1" applyAlignment="1" applyProtection="1">
      <alignment horizontal="left"/>
      <protection hidden="1"/>
    </xf>
    <xf numFmtId="164" fontId="3" fillId="2" borderId="0" xfId="8" applyNumberFormat="1" applyFont="1" applyFill="1" applyAlignment="1" applyProtection="1">
      <alignment horizontal="center"/>
      <protection locked="0" hidden="1"/>
    </xf>
    <xf numFmtId="0" fontId="8" fillId="0" borderId="0" xfId="0" applyFont="1" applyAlignment="1">
      <alignment vertical="center" wrapText="1"/>
    </xf>
    <xf numFmtId="0" fontId="56" fillId="16" borderId="0" xfId="0" applyFont="1" applyFill="1" applyAlignment="1">
      <alignment horizontal="left" vertical="center" wrapText="1"/>
    </xf>
  </cellXfs>
  <cellStyles count="9">
    <cellStyle name="Bedingung" xfId="1" xr:uid="{00000000-0005-0000-0000-000000000000}"/>
    <cellStyle name="Gut 2" xfId="5" xr:uid="{50438C06-467C-499F-A3AE-683289844582}"/>
    <cellStyle name="ha" xfId="2" xr:uid="{00000000-0005-0000-0000-000001000000}"/>
    <cellStyle name="Neutral 2" xfId="6" xr:uid="{7B0D9CD8-46DC-4267-BECD-B29382663426}"/>
    <cellStyle name="Prozent" xfId="7" builtinId="5"/>
    <cellStyle name="Standard" xfId="0" builtinId="0"/>
    <cellStyle name="Standard 2" xfId="4" xr:uid="{71E55A08-B162-49A9-B0C9-507DB7C3E946}"/>
    <cellStyle name="Standard 3" xfId="8" xr:uid="{5A217FC3-5188-43A0-B76B-9FF8C54D14FD}"/>
    <cellStyle name="Zahl int" xfId="3" xr:uid="{00000000-0005-0000-0000-000004000000}"/>
  </cellStyles>
  <dxfs count="15">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fill>
        <patternFill>
          <bgColor rgb="FFFFC7CE"/>
        </patternFill>
      </fill>
    </dxf>
    <dxf>
      <font>
        <color rgb="FF9C0006"/>
      </font>
      <fill>
        <patternFill>
          <bgColor rgb="FFFFC7CE"/>
        </patternFill>
      </fill>
    </dxf>
    <dxf>
      <fill>
        <patternFill>
          <bgColor theme="9" tint="-0.24994659260841701"/>
        </patternFill>
      </fill>
    </dxf>
    <dxf>
      <fill>
        <patternFill>
          <bgColor theme="0" tint="-0.14996795556505021"/>
        </patternFill>
      </fill>
    </dxf>
    <dxf>
      <fill>
        <patternFill>
          <bgColor rgb="FFFFCC00"/>
        </patternFill>
      </fill>
    </dxf>
  </dxfs>
  <tableStyles count="0" defaultTableStyle="TableStyleMedium2" defaultPivotStyle="PivotStyleLight16"/>
  <colors>
    <mruColors>
      <color rgb="FFCCFFCC"/>
      <color rgb="FFFFFF99"/>
      <color rgb="FFFF9900"/>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3.xml"/></Relationships>
</file>

<file path=xl/ctrlProps/ctrlProp1.xml><?xml version="1.0" encoding="utf-8"?>
<formControlPr xmlns="http://schemas.microsoft.com/office/spreadsheetml/2009/9/main" objectType="CheckBox" fmlaLink="$B$47" lockText="1" noThreeD="1"/>
</file>

<file path=xl/ctrlProps/ctrlProp2.xml><?xml version="1.0" encoding="utf-8"?>
<formControlPr xmlns="http://schemas.microsoft.com/office/spreadsheetml/2009/9/main" objectType="CheckBox" fmlaLink="$E$47" lockText="1" noThreeD="1"/>
</file>

<file path=xl/ctrlProps/ctrlProp3.xml><?xml version="1.0" encoding="utf-8"?>
<formControlPr xmlns="http://schemas.microsoft.com/office/spreadsheetml/2009/9/main" objectType="CheckBox" fmlaLink="$I$47" lockText="1" noThreeD="1"/>
</file>

<file path=xl/ctrlProps/ctrlProp4.xml><?xml version="1.0" encoding="utf-8"?>
<formControlPr xmlns="http://schemas.microsoft.com/office/spreadsheetml/2009/9/main" objectType="CheckBox" fmlaLink="$B$48" lockText="1" noThreeD="1"/>
</file>

<file path=xl/ctrlProps/ctrlProp5.xml><?xml version="1.0" encoding="utf-8"?>
<formControlPr xmlns="http://schemas.microsoft.com/office/spreadsheetml/2009/9/main" objectType="CheckBox" fmlaLink="B49" lockText="1" noThreeD="1"/>
</file>

<file path=xl/ctrlProps/ctrlProp6.xml><?xml version="1.0" encoding="utf-8"?>
<formControlPr xmlns="http://schemas.microsoft.com/office/spreadsheetml/2009/9/main" objectType="CheckBox" fmlaLink="$I48" lockText="1" noThreeD="1"/>
</file>

<file path=xl/ctrlProps/ctrlProp7.xml><?xml version="1.0" encoding="utf-8"?>
<formControlPr xmlns="http://schemas.microsoft.com/office/spreadsheetml/2009/9/main" objectType="CheckBox" fmlaLink="$E$49" lockText="1" noThreeD="1"/>
</file>

<file path=xl/ctrlProps/ctrlProp8.xml><?xml version="1.0" encoding="utf-8"?>
<formControlPr xmlns="http://schemas.microsoft.com/office/spreadsheetml/2009/9/main" objectType="CheckBox" fmlaLink="I49" lockText="1" noThreeD="1"/>
</file>

<file path=xl/ctrlProps/ctrlProp9.xml><?xml version="1.0" encoding="utf-8"?>
<formControlPr xmlns="http://schemas.microsoft.com/office/spreadsheetml/2009/9/main" objectType="CheckBox" fmlaLink="E48" lockText="1" noThreeD="1"/>
</file>

<file path=xl/ctrlProps/ctrlProp10.xml><?xml version="1.0" encoding="utf-8"?>
<formControlPr xmlns="http://schemas.microsoft.com/office/spreadsheetml/2009/9/main" objectType="CheckBox" fmlaLink="B205" lockText="1" noThreeD="1"/>
</file>

<file path=xl/ctrlProps/ctrlProp11.xml><?xml version="1.0" encoding="utf-8"?>
<formControlPr xmlns="http://schemas.microsoft.com/office/spreadsheetml/2009/9/main" objectType="CheckBox" fmlaLink="$B$47" lockText="1" noThreeD="1"/>
</file>

<file path=xl/ctrlProps/ctrlProp12.xml><?xml version="1.0" encoding="utf-8"?>
<formControlPr xmlns="http://schemas.microsoft.com/office/spreadsheetml/2009/9/main" objectType="CheckBox" fmlaLink="$E$47" lockText="1" noThreeD="1"/>
</file>

<file path=xl/ctrlProps/ctrlProp13.xml><?xml version="1.0" encoding="utf-8"?>
<formControlPr xmlns="http://schemas.microsoft.com/office/spreadsheetml/2009/9/main" objectType="CheckBox" fmlaLink="$B$48" lockText="1" noThreeD="1"/>
</file>

<file path=xl/ctrlProps/ctrlProp14.xml><?xml version="1.0" encoding="utf-8"?>
<formControlPr xmlns="http://schemas.microsoft.com/office/spreadsheetml/2009/9/main" objectType="CheckBox" fmlaLink="$I48" lockText="1" noThreeD="1"/>
</file>

<file path=xl/ctrlProps/ctrlProp15.xml><?xml version="1.0" encoding="utf-8"?>
<formControlPr xmlns="http://schemas.microsoft.com/office/spreadsheetml/2009/9/main" objectType="CheckBox" fmlaLink="E49" lockText="1" noThreeD="1"/>
</file>

<file path=xl/ctrlProps/ctrlProp16.xml><?xml version="1.0" encoding="utf-8"?>
<formControlPr xmlns="http://schemas.microsoft.com/office/spreadsheetml/2009/9/main" objectType="CheckBox" fmlaLink="$I$47" lockText="1" noThreeD="1"/>
</file>

<file path=xl/ctrlProps/ctrlProp17.xml><?xml version="1.0" encoding="utf-8"?>
<formControlPr xmlns="http://schemas.microsoft.com/office/spreadsheetml/2009/9/main" objectType="CheckBox" fmlaLink="E48" lockText="1" noThreeD="1"/>
</file>

<file path=xl/ctrlProps/ctrlProp18.xml><?xml version="1.0" encoding="utf-8"?>
<formControlPr xmlns="http://schemas.microsoft.com/office/spreadsheetml/2009/9/main" objectType="CheckBox" fmlaLink="B49" lockText="1" noThreeD="1"/>
</file>

<file path=xl/ctrlProps/ctrlProp19.xml><?xml version="1.0" encoding="utf-8"?>
<formControlPr xmlns="http://schemas.microsoft.com/office/spreadsheetml/2009/9/main" objectType="CheckBox" fmlaLink="I49" lockText="1" noThreeD="1"/>
</file>

<file path=xl/ctrlProps/ctrlProp20.xml><?xml version="1.0" encoding="utf-8"?>
<formControlPr xmlns="http://schemas.microsoft.com/office/spreadsheetml/2009/9/main" objectType="CheckBox" fmlaLink="B205"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47625</xdr:colOff>
          <xdr:row>46</xdr:row>
          <xdr:rowOff>114300</xdr:rowOff>
        </xdr:from>
        <xdr:to>
          <xdr:col>2</xdr:col>
          <xdr:colOff>457200</xdr:colOff>
          <xdr:row>47</xdr:row>
          <xdr:rowOff>57150</xdr:rowOff>
        </xdr:to>
        <xdr:sp macro="" textlink="">
          <xdr:nvSpPr>
            <xdr:cNvPr id="5162" name="Check Box 42" hidden="1">
              <a:extLst>
                <a:ext uri="{63B3BB69-23CF-44E3-9099-C40C66FF867C}">
                  <a14:compatExt spid="_x0000_s5162"/>
                </a:ext>
                <a:ext uri="{FF2B5EF4-FFF2-40B4-BE49-F238E27FC236}">
                  <a16:creationId xmlns:a16="http://schemas.microsoft.com/office/drawing/2014/main" id="{00000000-0008-0000-0500-00002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 grandes cultures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46</xdr:row>
          <xdr:rowOff>114300</xdr:rowOff>
        </xdr:from>
        <xdr:to>
          <xdr:col>8</xdr:col>
          <xdr:colOff>0</xdr:colOff>
          <xdr:row>47</xdr:row>
          <xdr:rowOff>66675</xdr:rowOff>
        </xdr:to>
        <xdr:sp macro="" textlink="">
          <xdr:nvSpPr>
            <xdr:cNvPr id="5163" name="Check Box 43" hidden="1">
              <a:extLst>
                <a:ext uri="{63B3BB69-23CF-44E3-9099-C40C66FF867C}">
                  <a14:compatExt spid="_x0000_s5163"/>
                </a:ext>
                <a:ext uri="{FF2B5EF4-FFF2-40B4-BE49-F238E27FC236}">
                  <a16:creationId xmlns:a16="http://schemas.microsoft.com/office/drawing/2014/main" id="{00000000-0008-0000-0500-00002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 prés de fauches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314325</xdr:colOff>
          <xdr:row>46</xdr:row>
          <xdr:rowOff>114300</xdr:rowOff>
        </xdr:from>
        <xdr:to>
          <xdr:col>10</xdr:col>
          <xdr:colOff>428625</xdr:colOff>
          <xdr:row>47</xdr:row>
          <xdr:rowOff>57150</xdr:rowOff>
        </xdr:to>
        <xdr:sp macro="" textlink="">
          <xdr:nvSpPr>
            <xdr:cNvPr id="5164" name="Check Box 44" hidden="1">
              <a:extLst>
                <a:ext uri="{63B3BB69-23CF-44E3-9099-C40C66FF867C}">
                  <a14:compatExt spid="_x0000_s5164"/>
                </a:ext>
                <a:ext uri="{FF2B5EF4-FFF2-40B4-BE49-F238E27FC236}">
                  <a16:creationId xmlns:a16="http://schemas.microsoft.com/office/drawing/2014/main" id="{00000000-0008-0000-0500-00002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 pâturages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47</xdr:row>
          <xdr:rowOff>38100</xdr:rowOff>
        </xdr:from>
        <xdr:to>
          <xdr:col>1</xdr:col>
          <xdr:colOff>638175</xdr:colOff>
          <xdr:row>48</xdr:row>
          <xdr:rowOff>57150</xdr:rowOff>
        </xdr:to>
        <xdr:sp macro="" textlink="">
          <xdr:nvSpPr>
            <xdr:cNvPr id="5165" name="Check Box 45" hidden="1">
              <a:extLst>
                <a:ext uri="{63B3BB69-23CF-44E3-9099-C40C66FF867C}">
                  <a14:compatExt spid="_x0000_s5165"/>
                </a:ext>
                <a:ext uri="{FF2B5EF4-FFF2-40B4-BE49-F238E27FC236}">
                  <a16:creationId xmlns:a16="http://schemas.microsoft.com/office/drawing/2014/main" id="{00000000-0008-0000-0500-00002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 vergers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48</xdr:row>
          <xdr:rowOff>47625</xdr:rowOff>
        </xdr:from>
        <xdr:to>
          <xdr:col>3</xdr:col>
          <xdr:colOff>285750</xdr:colOff>
          <xdr:row>49</xdr:row>
          <xdr:rowOff>76200</xdr:rowOff>
        </xdr:to>
        <xdr:sp macro="" textlink="">
          <xdr:nvSpPr>
            <xdr:cNvPr id="5166" name="Check Box 46" descr="Gemüsebau" hidden="1">
              <a:extLst>
                <a:ext uri="{63B3BB69-23CF-44E3-9099-C40C66FF867C}">
                  <a14:compatExt spid="_x0000_s5166"/>
                </a:ext>
                <a:ext uri="{FF2B5EF4-FFF2-40B4-BE49-F238E27FC236}">
                  <a16:creationId xmlns:a16="http://schemas.microsoft.com/office/drawing/2014/main" id="{00000000-0008-0000-0500-00002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 cultures maraîchères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314325</xdr:colOff>
          <xdr:row>47</xdr:row>
          <xdr:rowOff>38100</xdr:rowOff>
        </xdr:from>
        <xdr:to>
          <xdr:col>10</xdr:col>
          <xdr:colOff>333375</xdr:colOff>
          <xdr:row>48</xdr:row>
          <xdr:rowOff>57150</xdr:rowOff>
        </xdr:to>
        <xdr:sp macro="" textlink="">
          <xdr:nvSpPr>
            <xdr:cNvPr id="5167" name="Check Box 47" descr="Rebbau" hidden="1">
              <a:extLst>
                <a:ext uri="{63B3BB69-23CF-44E3-9099-C40C66FF867C}">
                  <a14:compatExt spid="_x0000_s5167"/>
                </a:ext>
                <a:ext uri="{FF2B5EF4-FFF2-40B4-BE49-F238E27FC236}">
                  <a16:creationId xmlns:a16="http://schemas.microsoft.com/office/drawing/2014/main" id="{00000000-0008-0000-0500-00002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 vignoble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48</xdr:row>
          <xdr:rowOff>38100</xdr:rowOff>
        </xdr:from>
        <xdr:to>
          <xdr:col>8</xdr:col>
          <xdr:colOff>266700</xdr:colOff>
          <xdr:row>49</xdr:row>
          <xdr:rowOff>66675</xdr:rowOff>
        </xdr:to>
        <xdr:sp macro="" textlink="">
          <xdr:nvSpPr>
            <xdr:cNvPr id="5168" name="Check Box 48" hidden="1">
              <a:extLst>
                <a:ext uri="{63B3BB69-23CF-44E3-9099-C40C66FF867C}">
                  <a14:compatExt spid="_x0000_s5168"/>
                </a:ext>
                <a:ext uri="{FF2B5EF4-FFF2-40B4-BE49-F238E27FC236}">
                  <a16:creationId xmlns:a16="http://schemas.microsoft.com/office/drawing/2014/main" id="{00000000-0008-0000-0500-00003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 autres cultures spéciales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314325</xdr:colOff>
          <xdr:row>48</xdr:row>
          <xdr:rowOff>28575</xdr:rowOff>
        </xdr:from>
        <xdr:to>
          <xdr:col>12</xdr:col>
          <xdr:colOff>171450</xdr:colOff>
          <xdr:row>49</xdr:row>
          <xdr:rowOff>57150</xdr:rowOff>
        </xdr:to>
        <xdr:sp macro="" textlink="">
          <xdr:nvSpPr>
            <xdr:cNvPr id="5169" name="Check Box 49" descr="Gemüsebau" hidden="1">
              <a:extLst>
                <a:ext uri="{63B3BB69-23CF-44E3-9099-C40C66FF867C}">
                  <a14:compatExt spid="_x0000_s5169"/>
                </a:ext>
                <a:ext uri="{FF2B5EF4-FFF2-40B4-BE49-F238E27FC236}">
                  <a16:creationId xmlns:a16="http://schemas.microsoft.com/office/drawing/2014/main" id="{00000000-0008-0000-0500-00003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 surfaces à litière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47</xdr:row>
          <xdr:rowOff>38100</xdr:rowOff>
        </xdr:from>
        <xdr:to>
          <xdr:col>8</xdr:col>
          <xdr:colOff>238125</xdr:colOff>
          <xdr:row>48</xdr:row>
          <xdr:rowOff>66675</xdr:rowOff>
        </xdr:to>
        <xdr:sp macro="" textlink="">
          <xdr:nvSpPr>
            <xdr:cNvPr id="5170" name="Check Box 50" hidden="1">
              <a:extLst>
                <a:ext uri="{63B3BB69-23CF-44E3-9099-C40C66FF867C}">
                  <a14:compatExt spid="_x0000_s5170"/>
                </a:ext>
                <a:ext uri="{FF2B5EF4-FFF2-40B4-BE49-F238E27FC236}">
                  <a16:creationId xmlns:a16="http://schemas.microsoft.com/office/drawing/2014/main" id="{00000000-0008-0000-0500-00003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 vergers à haute-tige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209550</xdr:colOff>
          <xdr:row>204</xdr:row>
          <xdr:rowOff>0</xdr:rowOff>
        </xdr:from>
        <xdr:to>
          <xdr:col>1</xdr:col>
          <xdr:colOff>514350</xdr:colOff>
          <xdr:row>205</xdr:row>
          <xdr:rowOff>19050</xdr:rowOff>
        </xdr:to>
        <xdr:sp macro="" textlink="">
          <xdr:nvSpPr>
            <xdr:cNvPr id="5171" name="Check Box 51" hidden="1">
              <a:extLst>
                <a:ext uri="{63B3BB69-23CF-44E3-9099-C40C66FF867C}">
                  <a14:compatExt spid="_x0000_s5171"/>
                </a:ext>
                <a:ext uri="{FF2B5EF4-FFF2-40B4-BE49-F238E27FC236}">
                  <a16:creationId xmlns:a16="http://schemas.microsoft.com/office/drawing/2014/main" id="{00000000-0008-0000-0500-00003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oneCellAnchor>
    <xdr:from>
      <xdr:col>0</xdr:col>
      <xdr:colOff>36634</xdr:colOff>
      <xdr:row>1</xdr:row>
      <xdr:rowOff>51289</xdr:rowOff>
    </xdr:from>
    <xdr:ext cx="1799590" cy="514350"/>
    <xdr:pic>
      <xdr:nvPicPr>
        <xdr:cNvPr id="5" name="Grafik 4" descr="Ein Bild, das Symbol, Grafiken, Logo, Karminrot enthält.&#10;&#10;Automatisch generierte Beschreibung">
          <a:extLst>
            <a:ext uri="{FF2B5EF4-FFF2-40B4-BE49-F238E27FC236}">
              <a16:creationId xmlns:a16="http://schemas.microsoft.com/office/drawing/2014/main" id="{AD6C82F3-DC8C-4F20-8133-89BAB8D3B7A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634" y="213214"/>
          <a:ext cx="1799590" cy="514350"/>
        </a:xfrm>
        <a:prstGeom prst="rect">
          <a:avLst/>
        </a:prstGeom>
      </xdr:spPr>
    </xdr:pic>
    <xdr:clientData/>
  </xdr:oneCellAnchor>
  <xdr:twoCellAnchor editAs="oneCell">
    <xdr:from>
      <xdr:col>20</xdr:col>
      <xdr:colOff>13607</xdr:colOff>
      <xdr:row>1</xdr:row>
      <xdr:rowOff>0</xdr:rowOff>
    </xdr:from>
    <xdr:to>
      <xdr:col>20</xdr:col>
      <xdr:colOff>578304</xdr:colOff>
      <xdr:row>2</xdr:row>
      <xdr:rowOff>31296</xdr:rowOff>
    </xdr:to>
    <xdr:pic>
      <xdr:nvPicPr>
        <xdr:cNvPr id="2" name="Grafik 1">
          <a:extLst>
            <a:ext uri="{FF2B5EF4-FFF2-40B4-BE49-F238E27FC236}">
              <a16:creationId xmlns:a16="http://schemas.microsoft.com/office/drawing/2014/main" id="{E30C5905-B2E2-4841-A2AC-6A2A5BB1560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851446" y="312964"/>
          <a:ext cx="564697" cy="67763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47625</xdr:colOff>
          <xdr:row>46</xdr:row>
          <xdr:rowOff>104775</xdr:rowOff>
        </xdr:from>
        <xdr:to>
          <xdr:col>2</xdr:col>
          <xdr:colOff>457200</xdr:colOff>
          <xdr:row>47</xdr:row>
          <xdr:rowOff>114300</xdr:rowOff>
        </xdr:to>
        <xdr:sp macro="" textlink="">
          <xdr:nvSpPr>
            <xdr:cNvPr id="6183" name="Check Box 39" hidden="1">
              <a:extLst>
                <a:ext uri="{63B3BB69-23CF-44E3-9099-C40C66FF867C}">
                  <a14:compatExt spid="_x0000_s6183"/>
                </a:ext>
                <a:ext uri="{FF2B5EF4-FFF2-40B4-BE49-F238E27FC236}">
                  <a16:creationId xmlns:a16="http://schemas.microsoft.com/office/drawing/2014/main" id="{00000000-0008-0000-0600-00002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 grandes cultures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47625</xdr:colOff>
          <xdr:row>46</xdr:row>
          <xdr:rowOff>104775</xdr:rowOff>
        </xdr:from>
        <xdr:to>
          <xdr:col>8</xdr:col>
          <xdr:colOff>123825</xdr:colOff>
          <xdr:row>47</xdr:row>
          <xdr:rowOff>123825</xdr:rowOff>
        </xdr:to>
        <xdr:sp macro="" textlink="">
          <xdr:nvSpPr>
            <xdr:cNvPr id="6184" name="Check Box 40" hidden="1">
              <a:extLst>
                <a:ext uri="{63B3BB69-23CF-44E3-9099-C40C66FF867C}">
                  <a14:compatExt spid="_x0000_s6184"/>
                </a:ext>
                <a:ext uri="{FF2B5EF4-FFF2-40B4-BE49-F238E27FC236}">
                  <a16:creationId xmlns:a16="http://schemas.microsoft.com/office/drawing/2014/main" id="{00000000-0008-0000-0600-00002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 prés de fauches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47</xdr:row>
          <xdr:rowOff>38100</xdr:rowOff>
        </xdr:from>
        <xdr:to>
          <xdr:col>1</xdr:col>
          <xdr:colOff>638175</xdr:colOff>
          <xdr:row>48</xdr:row>
          <xdr:rowOff>47625</xdr:rowOff>
        </xdr:to>
        <xdr:sp macro="" textlink="">
          <xdr:nvSpPr>
            <xdr:cNvPr id="6185" name="Check Box 41" hidden="1">
              <a:extLst>
                <a:ext uri="{63B3BB69-23CF-44E3-9099-C40C66FF867C}">
                  <a14:compatExt spid="_x0000_s6185"/>
                </a:ext>
                <a:ext uri="{FF2B5EF4-FFF2-40B4-BE49-F238E27FC236}">
                  <a16:creationId xmlns:a16="http://schemas.microsoft.com/office/drawing/2014/main" id="{00000000-0008-0000-0600-00002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 vergers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342900</xdr:colOff>
          <xdr:row>47</xdr:row>
          <xdr:rowOff>38100</xdr:rowOff>
        </xdr:from>
        <xdr:to>
          <xdr:col>10</xdr:col>
          <xdr:colOff>361950</xdr:colOff>
          <xdr:row>48</xdr:row>
          <xdr:rowOff>47625</xdr:rowOff>
        </xdr:to>
        <xdr:sp macro="" textlink="">
          <xdr:nvSpPr>
            <xdr:cNvPr id="6186" name="Check Box 42" descr="Rebbau" hidden="1">
              <a:extLst>
                <a:ext uri="{63B3BB69-23CF-44E3-9099-C40C66FF867C}">
                  <a14:compatExt spid="_x0000_s6186"/>
                </a:ext>
                <a:ext uri="{FF2B5EF4-FFF2-40B4-BE49-F238E27FC236}">
                  <a16:creationId xmlns:a16="http://schemas.microsoft.com/office/drawing/2014/main" id="{00000000-0008-0000-0600-00002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 vignoble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47625</xdr:colOff>
          <xdr:row>48</xdr:row>
          <xdr:rowOff>28575</xdr:rowOff>
        </xdr:from>
        <xdr:to>
          <xdr:col>8</xdr:col>
          <xdr:colOff>257175</xdr:colOff>
          <xdr:row>49</xdr:row>
          <xdr:rowOff>57150</xdr:rowOff>
        </xdr:to>
        <xdr:sp macro="" textlink="">
          <xdr:nvSpPr>
            <xdr:cNvPr id="6187" name="Check Box 43" hidden="1">
              <a:extLst>
                <a:ext uri="{63B3BB69-23CF-44E3-9099-C40C66FF867C}">
                  <a14:compatExt spid="_x0000_s6187"/>
                </a:ext>
                <a:ext uri="{FF2B5EF4-FFF2-40B4-BE49-F238E27FC236}">
                  <a16:creationId xmlns:a16="http://schemas.microsoft.com/office/drawing/2014/main" id="{00000000-0008-0000-0600-00002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 autres cultures spéciales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342900</xdr:colOff>
          <xdr:row>46</xdr:row>
          <xdr:rowOff>104775</xdr:rowOff>
        </xdr:from>
        <xdr:to>
          <xdr:col>10</xdr:col>
          <xdr:colOff>457200</xdr:colOff>
          <xdr:row>47</xdr:row>
          <xdr:rowOff>114300</xdr:rowOff>
        </xdr:to>
        <xdr:sp macro="" textlink="">
          <xdr:nvSpPr>
            <xdr:cNvPr id="6188" name="Check Box 44" hidden="1">
              <a:extLst>
                <a:ext uri="{63B3BB69-23CF-44E3-9099-C40C66FF867C}">
                  <a14:compatExt spid="_x0000_s6188"/>
                </a:ext>
                <a:ext uri="{FF2B5EF4-FFF2-40B4-BE49-F238E27FC236}">
                  <a16:creationId xmlns:a16="http://schemas.microsoft.com/office/drawing/2014/main" id="{00000000-0008-0000-0600-00002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 pâturages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47625</xdr:colOff>
          <xdr:row>47</xdr:row>
          <xdr:rowOff>38100</xdr:rowOff>
        </xdr:from>
        <xdr:to>
          <xdr:col>8</xdr:col>
          <xdr:colOff>228600</xdr:colOff>
          <xdr:row>48</xdr:row>
          <xdr:rowOff>57150</xdr:rowOff>
        </xdr:to>
        <xdr:sp macro="" textlink="">
          <xdr:nvSpPr>
            <xdr:cNvPr id="6189" name="Check Box 45" hidden="1">
              <a:extLst>
                <a:ext uri="{63B3BB69-23CF-44E3-9099-C40C66FF867C}">
                  <a14:compatExt spid="_x0000_s6189"/>
                </a:ext>
                <a:ext uri="{FF2B5EF4-FFF2-40B4-BE49-F238E27FC236}">
                  <a16:creationId xmlns:a16="http://schemas.microsoft.com/office/drawing/2014/main" id="{00000000-0008-0000-0600-00002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 vergers à haute-tige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48</xdr:row>
          <xdr:rowOff>38100</xdr:rowOff>
        </xdr:from>
        <xdr:to>
          <xdr:col>2</xdr:col>
          <xdr:colOff>409575</xdr:colOff>
          <xdr:row>49</xdr:row>
          <xdr:rowOff>47625</xdr:rowOff>
        </xdr:to>
        <xdr:sp macro="" textlink="">
          <xdr:nvSpPr>
            <xdr:cNvPr id="6190" name="Check Box 46" descr="Gemüsebau" hidden="1">
              <a:extLst>
                <a:ext uri="{63B3BB69-23CF-44E3-9099-C40C66FF867C}">
                  <a14:compatExt spid="_x0000_s6190"/>
                </a:ext>
                <a:ext uri="{FF2B5EF4-FFF2-40B4-BE49-F238E27FC236}">
                  <a16:creationId xmlns:a16="http://schemas.microsoft.com/office/drawing/2014/main" id="{00000000-0008-0000-0600-00002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 cultures maraîchères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333375</xdr:colOff>
          <xdr:row>48</xdr:row>
          <xdr:rowOff>38100</xdr:rowOff>
        </xdr:from>
        <xdr:to>
          <xdr:col>12</xdr:col>
          <xdr:colOff>257175</xdr:colOff>
          <xdr:row>49</xdr:row>
          <xdr:rowOff>57150</xdr:rowOff>
        </xdr:to>
        <xdr:sp macro="" textlink="">
          <xdr:nvSpPr>
            <xdr:cNvPr id="6191" name="Check Box 47" descr="Gemüsebau" hidden="1">
              <a:extLst>
                <a:ext uri="{63B3BB69-23CF-44E3-9099-C40C66FF867C}">
                  <a14:compatExt spid="_x0000_s6191"/>
                </a:ext>
                <a:ext uri="{FF2B5EF4-FFF2-40B4-BE49-F238E27FC236}">
                  <a16:creationId xmlns:a16="http://schemas.microsoft.com/office/drawing/2014/main" id="{00000000-0008-0000-0600-00002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 surfaces à litière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209550</xdr:colOff>
          <xdr:row>204</xdr:row>
          <xdr:rowOff>0</xdr:rowOff>
        </xdr:from>
        <xdr:to>
          <xdr:col>1</xdr:col>
          <xdr:colOff>514350</xdr:colOff>
          <xdr:row>205</xdr:row>
          <xdr:rowOff>9525</xdr:rowOff>
        </xdr:to>
        <xdr:sp macro="" textlink="">
          <xdr:nvSpPr>
            <xdr:cNvPr id="6192" name="Check Box 48" hidden="1">
              <a:extLst>
                <a:ext uri="{63B3BB69-23CF-44E3-9099-C40C66FF867C}">
                  <a14:compatExt spid="_x0000_s6192"/>
                </a:ext>
                <a:ext uri="{FF2B5EF4-FFF2-40B4-BE49-F238E27FC236}">
                  <a16:creationId xmlns:a16="http://schemas.microsoft.com/office/drawing/2014/main" id="{00000000-0008-0000-0600-00003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oneCellAnchor>
    <xdr:from>
      <xdr:col>0</xdr:col>
      <xdr:colOff>41414</xdr:colOff>
      <xdr:row>1</xdr:row>
      <xdr:rowOff>57978</xdr:rowOff>
    </xdr:from>
    <xdr:ext cx="1799590" cy="514350"/>
    <xdr:pic>
      <xdr:nvPicPr>
        <xdr:cNvPr id="5" name="Grafik 4" descr="Ein Bild, das Symbol, Grafiken, Logo, Karminrot enthält.&#10;&#10;Automatisch generierte Beschreibung">
          <a:extLst>
            <a:ext uri="{FF2B5EF4-FFF2-40B4-BE49-F238E27FC236}">
              <a16:creationId xmlns:a16="http://schemas.microsoft.com/office/drawing/2014/main" id="{CADE6C4C-C467-4BDA-A386-E4F87534CBD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414" y="219903"/>
          <a:ext cx="1799590" cy="514350"/>
        </a:xfrm>
        <a:prstGeom prst="rect">
          <a:avLst/>
        </a:prstGeom>
      </xdr:spPr>
    </xdr:pic>
    <xdr:clientData/>
  </xdr:oneCellAnchor>
  <xdr:twoCellAnchor editAs="oneCell">
    <xdr:from>
      <xdr:col>19</xdr:col>
      <xdr:colOff>462643</xdr:colOff>
      <xdr:row>1</xdr:row>
      <xdr:rowOff>20956</xdr:rowOff>
    </xdr:from>
    <xdr:to>
      <xdr:col>35</xdr:col>
      <xdr:colOff>13608</xdr:colOff>
      <xdr:row>2</xdr:row>
      <xdr:rowOff>52252</xdr:rowOff>
    </xdr:to>
    <xdr:pic>
      <xdr:nvPicPr>
        <xdr:cNvPr id="3" name="Grafik 2">
          <a:extLst>
            <a:ext uri="{FF2B5EF4-FFF2-40B4-BE49-F238E27FC236}">
              <a16:creationId xmlns:a16="http://schemas.microsoft.com/office/drawing/2014/main" id="{CBC067DB-4155-4BC7-DCC8-BC5E67E7EE1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164411" y="333920"/>
          <a:ext cx="564697" cy="677636"/>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Simon Birrer" id="{8BB51C03-B9E8-4381-B706-126C3A17425B}" userId="Simon Birrer" providerId="None"/>
</personList>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62" dT="2025-09-05T13:33:52.72" personId="{8BB51C03-B9E8-4381-B706-126C3A17425B}" id="{62627A67-F80C-4E04-91B2-F49F3AB466DC}">
    <text>Wie in Deutscher Version: 2 x C13</text>
  </threadedComment>
</ThreadedComments>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5.xml"/><Relationship Id="rId13" Type="http://schemas.openxmlformats.org/officeDocument/2006/relationships/ctrlProp" Target="../ctrlProps/ctrlProp20.xml"/><Relationship Id="rId3" Type="http://schemas.openxmlformats.org/officeDocument/2006/relationships/vmlDrawing" Target="../drawings/vmlDrawing2.vml"/><Relationship Id="rId7" Type="http://schemas.openxmlformats.org/officeDocument/2006/relationships/ctrlProp" Target="../ctrlProps/ctrlProp14.xml"/><Relationship Id="rId12" Type="http://schemas.openxmlformats.org/officeDocument/2006/relationships/ctrlProp" Target="../ctrlProps/ctrlProp19.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13.xml"/><Relationship Id="rId11" Type="http://schemas.openxmlformats.org/officeDocument/2006/relationships/ctrlProp" Target="../ctrlProps/ctrlProp18.xml"/><Relationship Id="rId5" Type="http://schemas.openxmlformats.org/officeDocument/2006/relationships/ctrlProp" Target="../ctrlProps/ctrlProp12.xml"/><Relationship Id="rId10" Type="http://schemas.openxmlformats.org/officeDocument/2006/relationships/ctrlProp" Target="../ctrlProps/ctrlProp17.xml"/><Relationship Id="rId4" Type="http://schemas.openxmlformats.org/officeDocument/2006/relationships/ctrlProp" Target="../ctrlProps/ctrlProp11.xml"/><Relationship Id="rId9" Type="http://schemas.openxmlformats.org/officeDocument/2006/relationships/ctrlProp" Target="../ctrlProps/ctrlProp16.xml"/><Relationship Id="rId1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529AA4-FAD6-418F-90DC-5C92FC0F8E64}">
  <sheetPr>
    <tabColor theme="6" tint="0.39997558519241921"/>
  </sheetPr>
  <dimension ref="A1:AR234"/>
  <sheetViews>
    <sheetView tabSelected="1" showOutlineSymbols="0" zoomScale="140" zoomScaleNormal="140" zoomScaleSheetLayoutView="100" workbookViewId="0">
      <pane xSplit="1" ySplit="1" topLeftCell="B2" activePane="bottomRight" state="frozen"/>
      <selection pane="topRight" activeCell="B1" sqref="B1"/>
      <selection pane="bottomLeft" activeCell="A2" sqref="A2"/>
      <selection pane="bottomRight" activeCell="B13" sqref="B13"/>
    </sheetView>
  </sheetViews>
  <sheetFormatPr baseColWidth="10" defaultColWidth="11.5703125" defaultRowHeight="16.5" outlineLevelRow="1"/>
  <cols>
    <col min="1" max="1" width="5" style="11" customWidth="1"/>
    <col min="2" max="2" width="10.28515625" style="4" customWidth="1"/>
    <col min="3" max="3" width="8.28515625" style="4" customWidth="1"/>
    <col min="4" max="4" width="9.5703125" style="4" customWidth="1"/>
    <col min="5" max="5" width="8.140625" style="4" customWidth="1"/>
    <col min="6" max="6" width="1.140625" style="4" customWidth="1"/>
    <col min="7" max="7" width="8.5703125" style="4" customWidth="1"/>
    <col min="8" max="8" width="1.140625" style="4" customWidth="1"/>
    <col min="9" max="9" width="8.85546875" style="4" customWidth="1"/>
    <col min="10" max="10" width="1.140625" style="4" customWidth="1"/>
    <col min="11" max="11" width="9.7109375" style="4" customWidth="1"/>
    <col min="12" max="12" width="1.140625" style="4" customWidth="1"/>
    <col min="13" max="13" width="8.140625" style="9" customWidth="1"/>
    <col min="14" max="14" width="8.28515625" style="51" customWidth="1"/>
    <col min="15" max="17" width="8" style="9" customWidth="1"/>
    <col min="18" max="20" width="6.42578125" style="9" customWidth="1"/>
    <col min="21" max="21" width="9" style="8" customWidth="1"/>
    <col min="22" max="23" width="9.5703125" style="7" hidden="1" customWidth="1"/>
    <col min="24" max="24" width="9.5703125" style="6" hidden="1" customWidth="1"/>
    <col min="25" max="25" width="9.5703125" style="5" hidden="1" customWidth="1"/>
    <col min="26" max="26" width="9.5703125" style="6" hidden="1" customWidth="1"/>
    <col min="27" max="27" width="9.5703125" style="5" hidden="1" customWidth="1"/>
    <col min="28" max="28" width="9.5703125" style="6" hidden="1" customWidth="1"/>
    <col min="29" max="29" width="9.5703125" style="5" hidden="1" customWidth="1"/>
    <col min="30" max="30" width="9.5703125" style="6" hidden="1" customWidth="1"/>
    <col min="31" max="31" width="9.5703125" style="5" hidden="1" customWidth="1"/>
    <col min="32" max="32" width="9.5703125" style="6" hidden="1" customWidth="1"/>
    <col min="33" max="33" width="9.5703125" style="5" hidden="1" customWidth="1"/>
    <col min="34" max="34" width="9.5703125" style="6" hidden="1" customWidth="1"/>
    <col min="35" max="35" width="9.5703125" style="5" hidden="1" customWidth="1"/>
    <col min="36" max="36" width="9.5703125" style="126" customWidth="1"/>
    <col min="37" max="38" width="6.140625" style="4" customWidth="1"/>
    <col min="39" max="16384" width="11.5703125" style="4"/>
  </cols>
  <sheetData>
    <row r="1" spans="1:39" s="386" customFormat="1" ht="24.95" customHeight="1">
      <c r="A1" s="385" t="s">
        <v>243</v>
      </c>
      <c r="C1" s="387"/>
      <c r="J1" s="388"/>
      <c r="K1" s="388" t="s">
        <v>97</v>
      </c>
      <c r="L1" s="388"/>
      <c r="M1" s="389">
        <f>+N232</f>
        <v>0</v>
      </c>
      <c r="U1" s="390">
        <f>+IF(LN&gt;1,LN) + SUM(B14:B16) + SUM(B27:B28) + B31 + IF(Nutzungsparzellen&gt;1,Nutzungsparzellen) + B50 + SUM(F58:M73) + SUM(B101:B172) + SUM(B176:B193) + SUM(G199:G202) + SUM(K199:K202) + SUM(B205:B212) + SUM(M217:M223) + IF(B205,1,0)</f>
        <v>0</v>
      </c>
      <c r="V1" s="386" t="s">
        <v>41</v>
      </c>
      <c r="W1" s="386" t="s">
        <v>42</v>
      </c>
      <c r="X1" s="386" t="s">
        <v>29</v>
      </c>
      <c r="Y1" s="386" t="s">
        <v>30</v>
      </c>
      <c r="Z1" s="386" t="s">
        <v>31</v>
      </c>
      <c r="AA1" s="386" t="s">
        <v>32</v>
      </c>
      <c r="AB1" s="386" t="s">
        <v>33</v>
      </c>
      <c r="AC1" s="386" t="s">
        <v>34</v>
      </c>
      <c r="AD1" s="386" t="s">
        <v>35</v>
      </c>
      <c r="AE1" s="386" t="s">
        <v>36</v>
      </c>
      <c r="AF1" s="386" t="s">
        <v>37</v>
      </c>
      <c r="AG1" s="386" t="s">
        <v>38</v>
      </c>
      <c r="AH1" s="386" t="s">
        <v>39</v>
      </c>
      <c r="AI1" s="386" t="s">
        <v>40</v>
      </c>
      <c r="AJ1" s="391"/>
    </row>
    <row r="2" spans="1:39" s="14" customFormat="1" ht="51" customHeight="1">
      <c r="A2" s="11"/>
      <c r="B2" s="177"/>
      <c r="C2" s="75"/>
      <c r="I2" s="75"/>
      <c r="J2" s="75"/>
      <c r="K2" s="75"/>
      <c r="L2" s="75"/>
      <c r="M2" s="75"/>
      <c r="O2" s="124"/>
      <c r="P2" s="124"/>
      <c r="Q2" s="124"/>
      <c r="R2" s="124"/>
      <c r="S2" s="124"/>
      <c r="T2" s="124"/>
      <c r="U2" s="75"/>
      <c r="V2" s="121"/>
      <c r="W2" s="121"/>
      <c r="X2" s="6"/>
      <c r="Y2" s="5"/>
      <c r="Z2" s="6"/>
      <c r="AA2" s="5"/>
      <c r="AB2" s="6"/>
      <c r="AC2" s="5"/>
      <c r="AD2" s="6"/>
      <c r="AE2" s="5"/>
      <c r="AF2" s="6"/>
      <c r="AG2" s="5"/>
      <c r="AH2" s="6"/>
      <c r="AI2" s="5"/>
      <c r="AJ2" s="70"/>
    </row>
    <row r="3" spans="1:39" ht="6.6" customHeight="1">
      <c r="D3" s="13"/>
      <c r="E3" s="13"/>
      <c r="F3" s="13"/>
      <c r="G3" s="13"/>
      <c r="H3" s="13"/>
      <c r="N3" s="4"/>
    </row>
    <row r="4" spans="1:39" s="172" customFormat="1" ht="18">
      <c r="A4" s="125" t="s">
        <v>242</v>
      </c>
      <c r="C4" s="125"/>
      <c r="D4" s="125"/>
      <c r="E4" s="125"/>
      <c r="F4" s="125"/>
      <c r="G4" s="125"/>
      <c r="H4" s="125"/>
      <c r="I4" s="125"/>
      <c r="J4" s="125"/>
      <c r="K4" s="125"/>
      <c r="L4" s="125"/>
      <c r="M4" s="125"/>
      <c r="O4" s="125"/>
      <c r="P4" s="125"/>
      <c r="Q4" s="125"/>
      <c r="R4" s="125"/>
      <c r="S4" s="125"/>
      <c r="T4" s="125"/>
      <c r="U4" s="122" t="s">
        <v>489</v>
      </c>
      <c r="V4" s="176"/>
      <c r="W4" s="176"/>
      <c r="X4" s="175"/>
      <c r="Y4" s="174"/>
      <c r="Z4" s="175"/>
      <c r="AA4" s="174"/>
      <c r="AB4" s="175"/>
      <c r="AC4" s="174"/>
      <c r="AD4" s="175"/>
      <c r="AE4" s="174"/>
      <c r="AF4" s="175"/>
      <c r="AG4" s="174"/>
      <c r="AH4" s="175"/>
      <c r="AI4" s="174"/>
      <c r="AJ4" s="173"/>
    </row>
    <row r="5" spans="1:39" ht="6.6" customHeight="1">
      <c r="D5" s="13"/>
      <c r="E5" s="13"/>
      <c r="F5" s="13"/>
      <c r="G5" s="13"/>
      <c r="H5" s="13"/>
      <c r="N5" s="4"/>
    </row>
    <row r="6" spans="1:39" ht="15.6" customHeight="1">
      <c r="A6" s="120" t="s">
        <v>241</v>
      </c>
      <c r="M6" s="4"/>
      <c r="N6" s="4"/>
      <c r="O6" s="4"/>
      <c r="P6" s="4"/>
      <c r="Q6" s="4"/>
      <c r="R6" s="4"/>
      <c r="S6" s="4"/>
      <c r="T6" s="4"/>
      <c r="U6" s="119" t="s">
        <v>240</v>
      </c>
      <c r="V6" s="6"/>
      <c r="W6" s="6"/>
    </row>
    <row r="7" spans="1:39" ht="6.6" customHeight="1">
      <c r="D7" s="13"/>
      <c r="E7" s="13"/>
      <c r="F7" s="13"/>
      <c r="G7" s="13"/>
      <c r="H7" s="13"/>
      <c r="N7" s="4"/>
    </row>
    <row r="8" spans="1:39" ht="14.45" customHeight="1">
      <c r="A8" s="501" t="s">
        <v>239</v>
      </c>
      <c r="B8" s="501"/>
      <c r="C8" s="501"/>
      <c r="D8" s="501"/>
      <c r="E8" s="501"/>
      <c r="F8" s="501"/>
      <c r="G8" s="501"/>
      <c r="H8" s="501"/>
      <c r="I8" s="501"/>
      <c r="J8" s="501"/>
      <c r="K8" s="501"/>
      <c r="L8" s="501"/>
      <c r="M8" s="501"/>
      <c r="N8" s="501"/>
      <c r="O8" s="501"/>
      <c r="P8" s="501"/>
      <c r="Q8" s="501"/>
      <c r="R8" s="501"/>
      <c r="S8" s="501"/>
      <c r="T8" s="501"/>
      <c r="U8" s="501"/>
    </row>
    <row r="9" spans="1:39" ht="15.95" customHeight="1">
      <c r="D9" s="13"/>
      <c r="E9" s="13"/>
      <c r="F9" s="13"/>
      <c r="G9" s="13"/>
      <c r="H9" s="13"/>
      <c r="M9" s="210" t="str">
        <f>IF(avertissement&gt;0,"ATTENTION: Données réparties sur plusieurs feuilles - entraîne des résultats erronés","")</f>
        <v/>
      </c>
      <c r="N9" s="4"/>
    </row>
    <row r="10" spans="1:39" s="112" customFormat="1" ht="21" customHeight="1">
      <c r="A10" s="118" t="s">
        <v>238</v>
      </c>
      <c r="C10" s="118"/>
      <c r="I10" s="171"/>
      <c r="J10" s="171"/>
      <c r="K10" s="117"/>
      <c r="L10" s="117"/>
      <c r="M10" s="116"/>
      <c r="O10" s="114"/>
      <c r="P10" s="114"/>
      <c r="Q10" s="114"/>
      <c r="R10" s="114"/>
      <c r="S10" s="114"/>
      <c r="T10" s="114"/>
      <c r="U10" s="171"/>
      <c r="V10" s="6"/>
      <c r="W10" s="6"/>
      <c r="X10" s="6"/>
      <c r="Y10" s="5"/>
      <c r="Z10" s="6"/>
      <c r="AA10" s="5"/>
      <c r="AB10" s="6"/>
      <c r="AC10" s="5"/>
      <c r="AD10" s="6"/>
      <c r="AE10" s="5"/>
      <c r="AF10" s="6"/>
      <c r="AG10" s="5"/>
      <c r="AH10" s="6"/>
      <c r="AI10" s="5"/>
      <c r="AJ10" s="170"/>
    </row>
    <row r="11" spans="1:39" ht="6.6" customHeight="1">
      <c r="D11" s="13"/>
      <c r="E11" s="13"/>
      <c r="F11" s="13"/>
      <c r="G11" s="13"/>
      <c r="H11" s="13"/>
      <c r="N11" s="4"/>
      <c r="V11" s="6"/>
      <c r="W11" s="6"/>
    </row>
    <row r="12" spans="1:39">
      <c r="A12" s="11">
        <v>1</v>
      </c>
      <c r="B12" s="32" t="s">
        <v>237</v>
      </c>
      <c r="M12" s="4"/>
      <c r="N12" s="4"/>
      <c r="O12" s="4" t="s">
        <v>236</v>
      </c>
      <c r="P12" s="4"/>
      <c r="Q12" s="510"/>
      <c r="R12" s="510"/>
      <c r="S12" s="510"/>
      <c r="T12" s="510"/>
      <c r="U12" s="510"/>
      <c r="V12" s="6"/>
      <c r="W12" s="6"/>
    </row>
    <row r="13" spans="1:39" s="14" customFormat="1">
      <c r="A13" s="11">
        <v>1.1000000000000001</v>
      </c>
      <c r="B13" s="64">
        <v>1</v>
      </c>
      <c r="C13" s="500" t="s">
        <v>235</v>
      </c>
      <c r="D13" s="500"/>
      <c r="E13" s="500"/>
      <c r="F13" s="500"/>
      <c r="G13" s="500"/>
      <c r="H13" s="500"/>
      <c r="K13" s="49" t="s">
        <v>234</v>
      </c>
      <c r="L13" s="49"/>
      <c r="P13" s="4"/>
      <c r="Q13" s="4"/>
      <c r="R13" s="4"/>
      <c r="S13" s="4"/>
      <c r="T13" s="4"/>
      <c r="V13" s="6"/>
      <c r="W13" s="6"/>
      <c r="X13" s="6"/>
      <c r="Y13" s="5"/>
      <c r="Z13" s="6"/>
      <c r="AA13" s="5"/>
      <c r="AB13" s="6"/>
      <c r="AC13" s="5"/>
      <c r="AD13" s="6"/>
      <c r="AE13" s="5"/>
      <c r="AF13" s="6"/>
      <c r="AG13" s="5"/>
      <c r="AH13" s="6"/>
      <c r="AI13" s="5"/>
      <c r="AJ13" s="70"/>
    </row>
    <row r="14" spans="1:39" s="14" customFormat="1">
      <c r="A14" s="65" t="s">
        <v>7</v>
      </c>
      <c r="B14" s="64">
        <v>0</v>
      </c>
      <c r="C14" s="500" t="s">
        <v>233</v>
      </c>
      <c r="D14" s="500"/>
      <c r="E14" s="500"/>
      <c r="F14" s="500"/>
      <c r="G14" s="500"/>
      <c r="H14" s="500"/>
      <c r="K14" s="104">
        <f>+DGL/LN</f>
        <v>0</v>
      </c>
      <c r="L14" s="168"/>
      <c r="O14" s="4" t="s">
        <v>45</v>
      </c>
      <c r="P14" s="4"/>
      <c r="Q14" s="510"/>
      <c r="R14" s="510"/>
      <c r="S14" s="510"/>
      <c r="T14" s="510"/>
      <c r="U14" s="510"/>
      <c r="V14" s="6"/>
      <c r="W14" s="6"/>
      <c r="X14" s="6"/>
      <c r="Y14" s="5"/>
      <c r="Z14" s="6"/>
      <c r="AA14" s="5"/>
      <c r="AB14" s="6"/>
      <c r="AC14" s="5"/>
      <c r="AD14" s="6"/>
      <c r="AE14" s="5"/>
      <c r="AF14" s="6"/>
      <c r="AG14" s="5"/>
      <c r="AH14" s="6"/>
      <c r="AI14" s="5"/>
      <c r="AJ14" s="70"/>
      <c r="AM14" s="26"/>
    </row>
    <row r="15" spans="1:39" s="14" customFormat="1">
      <c r="A15" s="68" t="s">
        <v>8</v>
      </c>
      <c r="B15" s="64">
        <v>0</v>
      </c>
      <c r="C15" s="500" t="s">
        <v>232</v>
      </c>
      <c r="D15" s="500"/>
      <c r="E15" s="500"/>
      <c r="F15" s="500"/>
      <c r="G15" s="500"/>
      <c r="H15" s="500"/>
      <c r="K15" s="104">
        <f>+offene_Ackerfläche/LN</f>
        <v>0</v>
      </c>
      <c r="L15" s="168"/>
      <c r="V15" s="6"/>
      <c r="W15" s="6"/>
      <c r="X15" s="6"/>
      <c r="Y15" s="5"/>
      <c r="Z15" s="6"/>
      <c r="AA15" s="5"/>
      <c r="AB15" s="6"/>
      <c r="AC15" s="5"/>
      <c r="AD15" s="6"/>
      <c r="AE15" s="5"/>
      <c r="AF15" s="6"/>
      <c r="AG15" s="5"/>
      <c r="AH15" s="6"/>
      <c r="AI15" s="5"/>
      <c r="AJ15" s="70"/>
    </row>
    <row r="16" spans="1:39" s="14" customFormat="1">
      <c r="A16" s="68" t="s">
        <v>9</v>
      </c>
      <c r="B16" s="64">
        <v>0</v>
      </c>
      <c r="C16" s="500" t="s">
        <v>231</v>
      </c>
      <c r="D16" s="500"/>
      <c r="E16" s="500"/>
      <c r="F16" s="500"/>
      <c r="G16" s="500"/>
      <c r="H16" s="500"/>
      <c r="K16" s="104">
        <f>+B16/LN</f>
        <v>0</v>
      </c>
      <c r="L16" s="168"/>
      <c r="M16" s="110">
        <f>MAX(SUM(B14:B16),1)</f>
        <v>1</v>
      </c>
      <c r="O16" s="4" t="s">
        <v>230</v>
      </c>
      <c r="P16" s="4"/>
      <c r="Q16" s="109"/>
      <c r="R16" s="4" t="s">
        <v>229</v>
      </c>
      <c r="S16" s="510"/>
      <c r="T16" s="510"/>
      <c r="U16" s="510"/>
      <c r="V16" s="6"/>
      <c r="W16" s="6"/>
      <c r="X16" s="6"/>
      <c r="Y16" s="5"/>
      <c r="Z16" s="6"/>
      <c r="AA16" s="5"/>
      <c r="AB16" s="6"/>
      <c r="AC16" s="5"/>
      <c r="AD16" s="6"/>
      <c r="AE16" s="5"/>
      <c r="AF16" s="6"/>
      <c r="AG16" s="5"/>
      <c r="AH16" s="6"/>
      <c r="AI16" s="5"/>
      <c r="AJ16" s="70"/>
    </row>
    <row r="17" spans="1:36" s="14" customFormat="1">
      <c r="A17" s="68" t="s">
        <v>10</v>
      </c>
      <c r="B17" s="47" t="s">
        <v>1</v>
      </c>
      <c r="C17" s="76">
        <f>+B16+offene_Ackerfläche</f>
        <v>0</v>
      </c>
      <c r="D17" s="500" t="s">
        <v>276</v>
      </c>
      <c r="E17" s="500"/>
      <c r="F17" s="500"/>
      <c r="G17" s="500"/>
      <c r="H17" s="500"/>
      <c r="K17" s="104">
        <f>+Ackerfläche/LN</f>
        <v>0</v>
      </c>
      <c r="L17" s="168"/>
      <c r="O17" s="4"/>
      <c r="P17" s="4"/>
      <c r="Q17" s="4"/>
      <c r="R17" s="4"/>
      <c r="S17" s="4"/>
      <c r="T17" s="4"/>
      <c r="V17" s="6"/>
      <c r="W17" s="6"/>
      <c r="X17" s="6"/>
      <c r="Y17" s="5"/>
      <c r="Z17" s="6"/>
      <c r="AA17" s="5"/>
      <c r="AB17" s="6"/>
      <c r="AC17" s="5"/>
      <c r="AD17" s="6"/>
      <c r="AE17" s="5"/>
      <c r="AF17" s="6"/>
      <c r="AG17" s="5"/>
      <c r="AH17" s="6"/>
      <c r="AI17" s="5"/>
      <c r="AJ17" s="70"/>
    </row>
    <row r="18" spans="1:36" s="14" customFormat="1">
      <c r="A18" s="65" t="s">
        <v>47</v>
      </c>
      <c r="B18" s="76">
        <f>+LN-SUM(B14:B16)</f>
        <v>1</v>
      </c>
      <c r="C18" s="500" t="s">
        <v>307</v>
      </c>
      <c r="D18" s="500"/>
      <c r="E18" s="500"/>
      <c r="F18" s="500"/>
      <c r="G18" s="500"/>
      <c r="H18" s="500"/>
      <c r="I18" s="500"/>
      <c r="J18" s="500"/>
      <c r="K18" s="500"/>
      <c r="O18" s="4"/>
      <c r="P18" s="4"/>
      <c r="Q18" s="4"/>
      <c r="R18" s="4"/>
      <c r="S18" s="4"/>
      <c r="T18" s="4"/>
      <c r="V18" s="16"/>
      <c r="W18" s="16"/>
      <c r="X18" s="16"/>
      <c r="Y18" s="15"/>
      <c r="Z18" s="16"/>
      <c r="AA18" s="15"/>
      <c r="AB18" s="16"/>
      <c r="AC18" s="15"/>
      <c r="AD18" s="16"/>
      <c r="AE18" s="15"/>
      <c r="AF18" s="16"/>
      <c r="AG18" s="15"/>
      <c r="AH18" s="16"/>
      <c r="AI18" s="15"/>
      <c r="AJ18" s="70"/>
    </row>
    <row r="19" spans="1:36" ht="6" customHeight="1">
      <c r="C19" s="108"/>
      <c r="D19" s="107">
        <f>+DGL+Streuefläche+G68</f>
        <v>0</v>
      </c>
      <c r="E19" s="82" t="s">
        <v>94</v>
      </c>
      <c r="F19" s="103"/>
      <c r="G19" s="103"/>
      <c r="H19" s="103"/>
      <c r="K19" s="106"/>
      <c r="L19" s="106"/>
      <c r="N19" s="4"/>
      <c r="V19" s="6"/>
      <c r="W19" s="6"/>
    </row>
    <row r="20" spans="1:36" ht="15.95" customHeight="1">
      <c r="B20" s="32" t="s">
        <v>286</v>
      </c>
      <c r="C20" s="108"/>
      <c r="D20" s="107"/>
      <c r="E20" s="82"/>
      <c r="F20" s="103"/>
      <c r="G20" s="103"/>
      <c r="H20" s="103"/>
      <c r="K20" s="106"/>
      <c r="L20" s="106"/>
      <c r="N20" s="4"/>
      <c r="V20" s="6"/>
      <c r="W20" s="6"/>
    </row>
    <row r="21" spans="1:36" ht="15.95" customHeight="1">
      <c r="A21" s="220"/>
      <c r="B21" s="219">
        <f>+LN</f>
        <v>1</v>
      </c>
      <c r="C21" s="500" t="s">
        <v>235</v>
      </c>
      <c r="D21" s="500"/>
      <c r="E21" s="500"/>
      <c r="F21" s="500"/>
      <c r="G21" s="500"/>
      <c r="H21" s="500"/>
      <c r="K21" s="106"/>
      <c r="L21" s="106"/>
      <c r="N21" s="4"/>
      <c r="V21" s="6"/>
      <c r="W21" s="6"/>
    </row>
    <row r="22" spans="1:36" ht="15.95" customHeight="1">
      <c r="A22" s="216" t="s">
        <v>90</v>
      </c>
      <c r="B22" s="211">
        <v>0</v>
      </c>
      <c r="C22" s="495" t="s">
        <v>288</v>
      </c>
      <c r="D22" s="495"/>
      <c r="E22" s="495"/>
      <c r="F22" s="495"/>
      <c r="G22" s="495"/>
      <c r="H22" s="495"/>
      <c r="K22" s="106"/>
      <c r="L22" s="106"/>
      <c r="N22" s="4"/>
      <c r="V22" s="6"/>
      <c r="W22" s="6"/>
    </row>
    <row r="23" spans="1:36" ht="15.95" customHeight="1">
      <c r="A23" s="335" t="s">
        <v>91</v>
      </c>
      <c r="B23" s="219">
        <f>+LN-Spezialkulturen</f>
        <v>1</v>
      </c>
      <c r="C23" s="495" t="s">
        <v>289</v>
      </c>
      <c r="D23" s="495"/>
      <c r="E23" s="495"/>
      <c r="F23" s="495"/>
      <c r="G23" s="495"/>
      <c r="H23" s="495"/>
      <c r="K23" s="106"/>
      <c r="L23" s="106"/>
      <c r="N23" s="4"/>
      <c r="V23" s="6"/>
      <c r="W23" s="6"/>
    </row>
    <row r="24" spans="1:36" ht="6" customHeight="1">
      <c r="C24" s="108"/>
      <c r="D24" s="107"/>
      <c r="E24" s="82"/>
      <c r="F24" s="103"/>
      <c r="G24" s="103"/>
      <c r="H24" s="103"/>
      <c r="K24" s="106"/>
      <c r="L24" s="106"/>
      <c r="N24" s="4"/>
      <c r="V24" s="6"/>
      <c r="W24" s="6"/>
    </row>
    <row r="25" spans="1:36" ht="15.95" customHeight="1">
      <c r="B25" s="13" t="s">
        <v>290</v>
      </c>
      <c r="C25" s="108"/>
      <c r="D25" s="107"/>
      <c r="E25" s="82"/>
      <c r="F25" s="103"/>
      <c r="G25" s="103"/>
      <c r="H25" s="103"/>
      <c r="K25" s="106"/>
      <c r="L25" s="106"/>
      <c r="N25" s="4"/>
      <c r="V25" s="6"/>
      <c r="W25" s="6"/>
    </row>
    <row r="26" spans="1:36" ht="15.95" customHeight="1">
      <c r="A26" s="68" t="s">
        <v>20</v>
      </c>
      <c r="B26" s="76">
        <f>+LN-B27-B28</f>
        <v>1</v>
      </c>
      <c r="C26" s="500" t="s">
        <v>228</v>
      </c>
      <c r="D26" s="500"/>
      <c r="E26" s="500"/>
      <c r="F26" s="500"/>
      <c r="G26" s="500"/>
      <c r="H26" s="500"/>
      <c r="K26" s="104">
        <f>+B26/LN</f>
        <v>1</v>
      </c>
      <c r="L26" s="168"/>
      <c r="N26" s="4"/>
      <c r="O26" s="4" t="s">
        <v>227</v>
      </c>
      <c r="P26" s="4"/>
      <c r="Q26" s="503"/>
      <c r="R26" s="503"/>
      <c r="S26" s="4" t="s">
        <v>226</v>
      </c>
      <c r="T26" s="4"/>
      <c r="U26" s="105"/>
      <c r="V26" s="6"/>
      <c r="W26" s="6"/>
    </row>
    <row r="27" spans="1:36" ht="15.95" customHeight="1">
      <c r="A27" s="65" t="s">
        <v>21</v>
      </c>
      <c r="B27" s="64">
        <v>0</v>
      </c>
      <c r="C27" s="500" t="s">
        <v>225</v>
      </c>
      <c r="D27" s="500"/>
      <c r="E27" s="500"/>
      <c r="F27" s="500"/>
      <c r="G27" s="500"/>
      <c r="H27" s="500"/>
      <c r="K27" s="104">
        <f>+B27/LN</f>
        <v>0</v>
      </c>
      <c r="L27" s="168"/>
      <c r="N27" s="4"/>
      <c r="V27" s="6"/>
      <c r="W27" s="6"/>
    </row>
    <row r="28" spans="1:36" ht="15.95" customHeight="1">
      <c r="A28" s="65" t="s">
        <v>22</v>
      </c>
      <c r="B28" s="64">
        <v>0</v>
      </c>
      <c r="C28" s="500" t="s">
        <v>224</v>
      </c>
      <c r="D28" s="500"/>
      <c r="E28" s="500"/>
      <c r="F28" s="500"/>
      <c r="G28" s="500"/>
      <c r="H28" s="500"/>
      <c r="K28" s="104">
        <f>+B28/LN</f>
        <v>0</v>
      </c>
      <c r="L28" s="168"/>
      <c r="N28" s="4"/>
      <c r="O28" s="4" t="s">
        <v>223</v>
      </c>
      <c r="Q28" s="502"/>
      <c r="R28" s="502"/>
      <c r="S28" s="502"/>
      <c r="T28" s="502"/>
      <c r="U28" s="502"/>
      <c r="V28" s="6"/>
      <c r="W28" s="6"/>
    </row>
    <row r="29" spans="1:36" ht="15.95" customHeight="1">
      <c r="A29" s="65"/>
      <c r="B29" s="169" t="str">
        <f>+IF(B28+B27&gt;B26,"exploitation en zone de motagne: remplissez la questionnaire 'motagne' s.v.p.","")</f>
        <v/>
      </c>
      <c r="C29" s="37"/>
      <c r="D29" s="82"/>
      <c r="E29" s="82"/>
      <c r="F29" s="103"/>
      <c r="G29" s="103"/>
      <c r="H29" s="103"/>
      <c r="K29" s="168"/>
      <c r="L29" s="168"/>
      <c r="N29" s="4"/>
      <c r="V29" s="6"/>
      <c r="W29" s="6"/>
    </row>
    <row r="30" spans="1:36">
      <c r="B30" s="32" t="s">
        <v>222</v>
      </c>
      <c r="M30" s="73"/>
      <c r="N30" s="4"/>
      <c r="O30" s="12" t="s">
        <v>44</v>
      </c>
      <c r="Q30" s="502"/>
      <c r="R30" s="502"/>
      <c r="S30" s="502"/>
      <c r="T30" s="502"/>
      <c r="U30" s="502"/>
      <c r="V30" s="6"/>
      <c r="W30" s="6"/>
    </row>
    <row r="31" spans="1:36" s="14" customFormat="1">
      <c r="A31" s="11">
        <v>2</v>
      </c>
      <c r="B31" s="167">
        <v>0</v>
      </c>
      <c r="C31" s="14" t="s">
        <v>221</v>
      </c>
      <c r="E31" s="26">
        <f>+B31/LN</f>
        <v>0</v>
      </c>
      <c r="F31" s="14" t="s">
        <v>220</v>
      </c>
      <c r="O31" s="4"/>
      <c r="P31" s="4"/>
      <c r="Q31" s="4"/>
      <c r="R31" s="4"/>
      <c r="S31" s="4"/>
      <c r="T31" s="4"/>
      <c r="V31" s="6"/>
      <c r="W31" s="6"/>
      <c r="X31" s="6"/>
      <c r="Y31" s="5"/>
      <c r="Z31" s="6"/>
      <c r="AA31" s="5"/>
      <c r="AB31" s="6"/>
      <c r="AC31" s="5"/>
      <c r="AD31" s="6"/>
      <c r="AE31" s="5"/>
      <c r="AF31" s="6"/>
      <c r="AG31" s="5"/>
      <c r="AH31" s="6"/>
      <c r="AI31" s="5"/>
      <c r="AJ31" s="70"/>
    </row>
    <row r="32" spans="1:36" ht="6" customHeight="1">
      <c r="D32" s="13"/>
      <c r="E32" s="13"/>
      <c r="F32" s="13"/>
      <c r="G32" s="13"/>
      <c r="H32" s="13"/>
      <c r="N32" s="4"/>
      <c r="V32" s="6"/>
      <c r="W32" s="6"/>
    </row>
    <row r="33" spans="1:40" s="20" customFormat="1" ht="19.899999999999999" customHeight="1">
      <c r="A33" s="24" t="s">
        <v>219</v>
      </c>
      <c r="C33" s="24"/>
      <c r="K33" s="67"/>
      <c r="L33" s="67"/>
      <c r="M33" s="54" t="s">
        <v>121</v>
      </c>
      <c r="N33" s="54"/>
      <c r="O33" s="22" t="s">
        <v>119</v>
      </c>
      <c r="P33" s="22" t="s">
        <v>117</v>
      </c>
      <c r="Q33" s="22" t="s">
        <v>209</v>
      </c>
      <c r="R33" s="22"/>
      <c r="S33" s="22"/>
      <c r="T33" s="22"/>
      <c r="U33" s="22" t="s">
        <v>116</v>
      </c>
      <c r="V33" s="6"/>
      <c r="W33" s="6"/>
      <c r="X33" s="6"/>
      <c r="Y33" s="5"/>
      <c r="Z33" s="6"/>
      <c r="AA33" s="5"/>
      <c r="AB33" s="6"/>
      <c r="AC33" s="5"/>
      <c r="AD33" s="6"/>
      <c r="AE33" s="5"/>
      <c r="AF33" s="6"/>
      <c r="AG33" s="5"/>
      <c r="AH33" s="6"/>
      <c r="AI33" s="5"/>
      <c r="AJ33" s="136"/>
    </row>
    <row r="34" spans="1:40" ht="6" customHeight="1">
      <c r="D34" s="13"/>
      <c r="E34" s="13"/>
      <c r="F34" s="13"/>
      <c r="G34" s="13"/>
      <c r="H34" s="13"/>
      <c r="N34" s="4"/>
      <c r="O34" s="19"/>
      <c r="P34" s="19"/>
      <c r="Q34" s="19"/>
      <c r="R34" s="19"/>
      <c r="S34" s="19"/>
      <c r="T34" s="19"/>
      <c r="U34" s="18"/>
    </row>
    <row r="35" spans="1:40" s="203" customFormat="1" hidden="1">
      <c r="A35" s="199"/>
      <c r="B35" s="221" t="s">
        <v>11</v>
      </c>
      <c r="M35" s="226"/>
      <c r="N35" s="227"/>
      <c r="O35" s="224"/>
      <c r="P35" s="224"/>
      <c r="Q35" s="224"/>
      <c r="R35" s="224"/>
      <c r="S35" s="224"/>
      <c r="T35" s="224"/>
      <c r="U35" s="228"/>
      <c r="V35" s="196"/>
      <c r="W35" s="196"/>
      <c r="X35" s="197"/>
      <c r="Y35" s="198"/>
      <c r="Z35" s="197"/>
      <c r="AA35" s="198"/>
      <c r="AB35" s="222"/>
      <c r="AC35" s="198"/>
      <c r="AD35" s="197"/>
      <c r="AE35" s="198"/>
      <c r="AF35" s="197"/>
      <c r="AG35" s="198"/>
      <c r="AH35" s="197"/>
      <c r="AI35" s="198"/>
      <c r="AJ35" s="207"/>
      <c r="AK35" s="208"/>
      <c r="AL35" s="208"/>
      <c r="AM35" s="208"/>
      <c r="AN35" s="208"/>
    </row>
    <row r="36" spans="1:40" s="200" customFormat="1" hidden="1">
      <c r="A36" s="199">
        <v>2</v>
      </c>
      <c r="B36" s="229">
        <v>0</v>
      </c>
      <c r="C36" s="200" t="s">
        <v>6</v>
      </c>
      <c r="O36" s="230"/>
      <c r="P36" s="230"/>
      <c r="Q36" s="230"/>
      <c r="R36" s="230"/>
      <c r="S36" s="230"/>
      <c r="T36" s="230"/>
      <c r="U36" s="228"/>
      <c r="V36" s="213"/>
      <c r="W36" s="213"/>
      <c r="X36" s="213"/>
      <c r="Y36" s="214"/>
      <c r="Z36" s="213"/>
      <c r="AA36" s="214"/>
      <c r="AB36" s="213"/>
      <c r="AC36" s="214"/>
      <c r="AD36" s="213"/>
      <c r="AE36" s="214"/>
      <c r="AF36" s="213"/>
      <c r="AG36" s="214"/>
      <c r="AH36" s="213"/>
      <c r="AI36" s="214"/>
      <c r="AJ36" s="202"/>
      <c r="AK36" s="184"/>
      <c r="AL36" s="184"/>
      <c r="AM36" s="184"/>
      <c r="AN36" s="184"/>
    </row>
    <row r="37" spans="1:40" s="200" customFormat="1" hidden="1">
      <c r="A37" s="199"/>
      <c r="B37" s="203"/>
      <c r="C37" s="231" t="s">
        <v>1</v>
      </c>
      <c r="D37" s="223">
        <f>+B36/B13</f>
        <v>0</v>
      </c>
      <c r="E37" s="200" t="s">
        <v>0</v>
      </c>
      <c r="M37" s="226">
        <f>+IF(D37&lt;AD37,AE37,IF(D37&lt;AB37,AC37,IF(D37&lt;=Z37,AA37,IF(D37&lt;=X37,Y37,))))</f>
        <v>3</v>
      </c>
      <c r="O37" s="224" t="str">
        <f>+"&gt;"&amp;Z37&amp;"-"&amp;X37</f>
        <v>&gt;1.3-1.6</v>
      </c>
      <c r="P37" s="232" t="str">
        <f>+AB37&amp;"-"&amp;Z37</f>
        <v>1-1.3</v>
      </c>
      <c r="Q37" s="224" t="str">
        <f>+AB37&amp;"-"&amp;AD37</f>
        <v>1-</v>
      </c>
      <c r="R37" s="224" t="str">
        <f>+"&lt;"&amp;AD37</f>
        <v>&lt;</v>
      </c>
      <c r="S37" s="233"/>
      <c r="T37" s="233"/>
      <c r="U37" s="228" t="s">
        <v>3</v>
      </c>
      <c r="V37" s="234"/>
      <c r="W37" s="235"/>
      <c r="X37" s="213">
        <v>1.6</v>
      </c>
      <c r="Y37" s="214">
        <v>1</v>
      </c>
      <c r="Z37" s="213">
        <v>1.3</v>
      </c>
      <c r="AA37" s="214">
        <v>2</v>
      </c>
      <c r="AB37" s="236">
        <v>1</v>
      </c>
      <c r="AC37" s="214">
        <v>3</v>
      </c>
      <c r="AD37" s="213"/>
      <c r="AE37" s="214"/>
      <c r="AF37" s="213"/>
      <c r="AG37" s="214"/>
      <c r="AH37" s="213"/>
      <c r="AI37" s="214"/>
      <c r="AJ37" s="202"/>
      <c r="AK37" s="184"/>
      <c r="AL37" s="184"/>
      <c r="AM37" s="184"/>
      <c r="AN37" s="184"/>
    </row>
    <row r="38" spans="1:40" s="203" customFormat="1" hidden="1">
      <c r="A38" s="199"/>
      <c r="D38" s="204"/>
      <c r="E38" s="204"/>
      <c r="F38" s="204"/>
      <c r="G38" s="204"/>
      <c r="H38" s="204"/>
      <c r="L38" s="204"/>
      <c r="M38" s="205"/>
      <c r="O38" s="224"/>
      <c r="P38" s="224"/>
      <c r="Q38" s="224"/>
      <c r="R38" s="224"/>
      <c r="S38" s="224"/>
      <c r="T38" s="224"/>
      <c r="U38" s="225"/>
      <c r="V38" s="196"/>
      <c r="W38" s="196"/>
      <c r="X38" s="197"/>
      <c r="Y38" s="198"/>
      <c r="Z38" s="197"/>
      <c r="AA38" s="198"/>
      <c r="AB38" s="197"/>
      <c r="AC38" s="198"/>
      <c r="AD38" s="197"/>
      <c r="AE38" s="198"/>
      <c r="AF38" s="197"/>
      <c r="AG38" s="198"/>
      <c r="AH38" s="197"/>
      <c r="AI38" s="198"/>
      <c r="AJ38" s="207"/>
      <c r="AK38" s="208"/>
      <c r="AL38" s="208"/>
      <c r="AM38" s="208"/>
      <c r="AN38" s="208"/>
    </row>
    <row r="39" spans="1:40" ht="15.95" customHeight="1">
      <c r="B39" s="32" t="s">
        <v>218</v>
      </c>
      <c r="M39" s="73"/>
      <c r="N39" s="4"/>
      <c r="O39" s="19"/>
      <c r="P39" s="19"/>
      <c r="Q39" s="19"/>
      <c r="R39" s="19"/>
      <c r="S39" s="19"/>
      <c r="T39" s="19"/>
      <c r="U39" s="25"/>
      <c r="AB39" s="102"/>
    </row>
    <row r="40" spans="1:40">
      <c r="A40" s="11">
        <v>3</v>
      </c>
      <c r="B40" s="35">
        <v>1</v>
      </c>
      <c r="C40" s="500" t="s">
        <v>217</v>
      </c>
      <c r="D40" s="500"/>
      <c r="E40" s="500"/>
      <c r="F40" s="500"/>
      <c r="G40" s="500"/>
      <c r="H40" s="500"/>
      <c r="M40" s="73"/>
      <c r="N40" s="4"/>
      <c r="O40" s="19"/>
      <c r="P40" s="19"/>
      <c r="Q40" s="19"/>
      <c r="R40" s="19"/>
      <c r="S40" s="19"/>
      <c r="T40" s="19"/>
      <c r="U40" s="25"/>
      <c r="AB40" s="102"/>
      <c r="AN40" s="165"/>
    </row>
    <row r="41" spans="1:40" s="14" customFormat="1">
      <c r="A41" s="11"/>
      <c r="B41" s="47" t="s">
        <v>1</v>
      </c>
      <c r="C41" s="26">
        <f>(LN-öAF_ohne_Bäume)/(Nutzungsparzellen)</f>
        <v>1</v>
      </c>
      <c r="D41" s="14" t="s">
        <v>216</v>
      </c>
      <c r="M41" s="34">
        <f>IF(Nutzungsparzellen=1, 0, IF(C41&lt;AB41,AC41,IF(C41&lt;Z41,AA41,IF(C41&lt;=X41,Y41,))))</f>
        <v>0</v>
      </c>
      <c r="O41" s="224" t="str">
        <f>Z41&amp;"–"&amp;X41</f>
        <v>1.3–1.6</v>
      </c>
      <c r="P41" s="232" t="str">
        <f>+AB41&amp;"–&lt;"&amp;Z41</f>
        <v>1–&lt;1.3</v>
      </c>
      <c r="Q41" s="224" t="str">
        <f>+"&lt;"&amp;AB41</f>
        <v>&lt;1</v>
      </c>
      <c r="R41" s="101"/>
      <c r="S41" s="101"/>
      <c r="T41" s="101"/>
      <c r="U41" s="25" t="s">
        <v>215</v>
      </c>
      <c r="V41" s="62">
        <v>2</v>
      </c>
      <c r="W41" s="61"/>
      <c r="X41" s="16">
        <v>1.6</v>
      </c>
      <c r="Y41" s="15">
        <v>1</v>
      </c>
      <c r="Z41" s="16">
        <v>1.3</v>
      </c>
      <c r="AA41" s="15">
        <v>2</v>
      </c>
      <c r="AB41" s="40">
        <v>1</v>
      </c>
      <c r="AC41" s="15">
        <v>3</v>
      </c>
      <c r="AD41" s="16"/>
      <c r="AE41" s="15"/>
      <c r="AF41" s="16"/>
      <c r="AG41" s="15"/>
      <c r="AH41" s="16"/>
      <c r="AI41" s="15"/>
      <c r="AJ41" s="70"/>
    </row>
    <row r="42" spans="1:40" s="14" customFormat="1" hidden="1">
      <c r="A42" s="11"/>
      <c r="B42" s="47"/>
      <c r="C42" s="26"/>
      <c r="M42" s="34"/>
      <c r="O42" s="19"/>
      <c r="P42" s="91"/>
      <c r="Q42" s="19"/>
      <c r="R42" s="101"/>
      <c r="S42" s="101"/>
      <c r="T42" s="101"/>
      <c r="U42" s="25"/>
      <c r="V42" s="62"/>
      <c r="W42" s="61"/>
      <c r="X42" s="16"/>
      <c r="Y42" s="15"/>
      <c r="Z42" s="16"/>
      <c r="AA42" s="15"/>
      <c r="AB42" s="40"/>
      <c r="AC42" s="15"/>
      <c r="AD42" s="16"/>
      <c r="AE42" s="15"/>
      <c r="AF42" s="16"/>
      <c r="AG42" s="15"/>
      <c r="AH42" s="16"/>
      <c r="AI42" s="15"/>
      <c r="AJ42" s="70"/>
    </row>
    <row r="43" spans="1:40" s="14" customFormat="1" hidden="1">
      <c r="A43" s="11"/>
      <c r="B43" s="47"/>
      <c r="C43" s="26"/>
      <c r="M43" s="34"/>
      <c r="O43" s="19"/>
      <c r="P43" s="91"/>
      <c r="Q43" s="19"/>
      <c r="R43" s="101"/>
      <c r="S43" s="101"/>
      <c r="T43" s="101"/>
      <c r="U43" s="25"/>
      <c r="V43" s="62"/>
      <c r="W43" s="61"/>
      <c r="X43" s="16"/>
      <c r="Y43" s="15"/>
      <c r="Z43" s="16"/>
      <c r="AA43" s="15"/>
      <c r="AB43" s="40"/>
      <c r="AC43" s="15"/>
      <c r="AD43" s="16"/>
      <c r="AE43" s="15"/>
      <c r="AF43" s="16"/>
      <c r="AG43" s="15"/>
      <c r="AH43" s="16"/>
      <c r="AI43" s="15"/>
      <c r="AJ43" s="70"/>
    </row>
    <row r="44" spans="1:40" ht="6" customHeight="1">
      <c r="D44" s="13"/>
      <c r="E44" s="13"/>
      <c r="F44" s="13"/>
      <c r="G44" s="13"/>
      <c r="H44" s="13"/>
      <c r="M44" s="36"/>
      <c r="N44" s="4"/>
      <c r="O44" s="19"/>
      <c r="P44" s="19"/>
      <c r="Q44" s="19"/>
      <c r="R44" s="19"/>
      <c r="S44" s="19"/>
      <c r="T44" s="19"/>
      <c r="U44" s="18"/>
    </row>
    <row r="45" spans="1:40">
      <c r="B45" s="504" t="s">
        <v>214</v>
      </c>
      <c r="C45" s="504"/>
      <c r="D45" s="504"/>
      <c r="E45" s="504"/>
      <c r="F45" s="504"/>
      <c r="G45" s="504"/>
      <c r="H45" s="504"/>
      <c r="M45" s="36"/>
      <c r="N45" s="4"/>
      <c r="O45" s="19"/>
      <c r="P45" s="19"/>
      <c r="Q45" s="19"/>
      <c r="R45" s="19"/>
      <c r="S45" s="19"/>
      <c r="T45" s="19"/>
      <c r="U45" s="25"/>
    </row>
    <row r="46" spans="1:40">
      <c r="B46" s="14" t="s">
        <v>213</v>
      </c>
      <c r="M46" s="36"/>
      <c r="N46" s="4"/>
      <c r="O46" s="19"/>
      <c r="P46" s="19"/>
      <c r="Q46" s="19"/>
      <c r="R46" s="19"/>
      <c r="S46" s="19"/>
      <c r="T46" s="19"/>
      <c r="U46" s="25"/>
    </row>
    <row r="47" spans="1:40" ht="21" customHeight="1">
      <c r="A47" s="99"/>
      <c r="B47" s="98" t="b">
        <v>0</v>
      </c>
      <c r="C47" s="97"/>
      <c r="D47" s="100"/>
      <c r="E47" s="98" t="b">
        <v>0</v>
      </c>
      <c r="F47" s="97"/>
      <c r="G47" s="97"/>
      <c r="H47" s="100"/>
      <c r="I47" s="98" t="b">
        <v>0</v>
      </c>
      <c r="J47" s="97"/>
      <c r="K47" s="97"/>
      <c r="L47" s="9"/>
      <c r="M47" s="36"/>
      <c r="N47" s="4"/>
      <c r="O47" s="19"/>
      <c r="P47" s="19"/>
      <c r="Q47" s="19"/>
      <c r="R47" s="19"/>
      <c r="S47" s="19"/>
      <c r="T47" s="19"/>
      <c r="U47" s="25"/>
    </row>
    <row r="48" spans="1:40" ht="15" customHeight="1">
      <c r="A48" s="99"/>
      <c r="B48" s="98" t="b">
        <v>0</v>
      </c>
      <c r="C48" s="97"/>
      <c r="D48" s="97"/>
      <c r="E48" s="98" t="b">
        <v>0</v>
      </c>
      <c r="F48" s="97"/>
      <c r="G48" s="97"/>
      <c r="H48" s="97"/>
      <c r="I48" s="98" t="b">
        <v>0</v>
      </c>
      <c r="J48" s="97"/>
      <c r="K48" s="97"/>
      <c r="L48" s="9"/>
      <c r="M48" s="36"/>
      <c r="N48" s="4"/>
      <c r="O48" s="19"/>
      <c r="P48" s="19"/>
      <c r="Q48" s="19"/>
      <c r="R48" s="19"/>
      <c r="S48" s="19"/>
      <c r="T48" s="19"/>
      <c r="U48" s="25"/>
    </row>
    <row r="49" spans="1:44" ht="15.6" customHeight="1">
      <c r="A49" s="98"/>
      <c r="B49" s="98" t="b">
        <v>0</v>
      </c>
      <c r="C49" s="98"/>
      <c r="D49" s="98"/>
      <c r="E49" s="98" t="b">
        <v>0</v>
      </c>
      <c r="F49" s="98"/>
      <c r="G49" s="98"/>
      <c r="H49" s="98"/>
      <c r="I49" s="98" t="b">
        <v>0</v>
      </c>
      <c r="J49" s="98"/>
      <c r="K49" s="98"/>
      <c r="L49" s="106"/>
      <c r="M49" s="164"/>
      <c r="N49" s="4"/>
      <c r="O49" s="19"/>
      <c r="P49" s="19"/>
      <c r="Q49" s="19"/>
      <c r="R49" s="19"/>
      <c r="S49" s="19"/>
      <c r="T49" s="19"/>
      <c r="U49" s="25"/>
    </row>
    <row r="50" spans="1:44" ht="16.899999999999999" customHeight="1">
      <c r="A50" s="11">
        <v>4</v>
      </c>
      <c r="B50" s="4">
        <f>COUNTIF(A47:J49,TRUE)</f>
        <v>0</v>
      </c>
      <c r="C50" s="14" t="s">
        <v>212</v>
      </c>
      <c r="M50" s="34">
        <f>IF(B50&gt;AB50,AC50,IF(B50&gt;Z50,AA50,IF(B50&gt;=X50,Y50,0)))</f>
        <v>0</v>
      </c>
      <c r="N50" s="4"/>
      <c r="O50" s="224" t="str">
        <f>+X50&amp;"–"&amp;Z50</f>
        <v>1–2</v>
      </c>
      <c r="P50" s="232" t="str">
        <f>+Z50+1&amp;"–"&amp;AB50</f>
        <v>3–5</v>
      </c>
      <c r="Q50" s="238" t="str">
        <f>+"&gt;="&amp;AB50+1</f>
        <v>&gt;=6</v>
      </c>
      <c r="R50" s="19"/>
      <c r="S50" s="19"/>
      <c r="T50" s="19"/>
      <c r="U50" s="163" t="s">
        <v>211</v>
      </c>
      <c r="V50" s="62">
        <v>2</v>
      </c>
      <c r="W50" s="61"/>
      <c r="X50" s="6">
        <v>1</v>
      </c>
      <c r="Y50" s="5">
        <v>1</v>
      </c>
      <c r="Z50" s="6">
        <v>2</v>
      </c>
      <c r="AA50" s="5">
        <v>2</v>
      </c>
      <c r="AB50" s="6">
        <v>5</v>
      </c>
      <c r="AC50" s="5">
        <v>3</v>
      </c>
      <c r="AD50" s="6">
        <v>7</v>
      </c>
    </row>
    <row r="51" spans="1:44" ht="6" customHeight="1">
      <c r="D51" s="13"/>
      <c r="E51" s="13"/>
      <c r="F51" s="13"/>
      <c r="G51" s="13"/>
      <c r="H51" s="13"/>
      <c r="N51" s="4"/>
      <c r="O51" s="19"/>
      <c r="P51" s="19"/>
      <c r="Q51" s="19"/>
      <c r="R51" s="19"/>
      <c r="S51" s="19"/>
      <c r="T51" s="19"/>
      <c r="U51" s="18"/>
    </row>
    <row r="52" spans="1:44" s="20" customFormat="1">
      <c r="A52" s="162" t="s">
        <v>210</v>
      </c>
      <c r="C52" s="24"/>
      <c r="K52" s="54" t="s">
        <v>121</v>
      </c>
      <c r="L52" s="67"/>
      <c r="N52" s="54" t="s">
        <v>27</v>
      </c>
      <c r="O52" s="22" t="s">
        <v>119</v>
      </c>
      <c r="P52" s="22" t="s">
        <v>117</v>
      </c>
      <c r="Q52" s="22" t="s">
        <v>209</v>
      </c>
      <c r="R52" s="22" t="s">
        <v>208</v>
      </c>
      <c r="S52" s="22" t="s">
        <v>207</v>
      </c>
      <c r="T52" s="22" t="s">
        <v>206</v>
      </c>
      <c r="U52" s="22" t="s">
        <v>116</v>
      </c>
      <c r="V52" s="6"/>
      <c r="W52" s="6"/>
      <c r="X52" s="6"/>
      <c r="Y52" s="5"/>
      <c r="Z52" s="6"/>
      <c r="AA52" s="5"/>
      <c r="AB52" s="6"/>
      <c r="AC52" s="5"/>
      <c r="AD52" s="6"/>
      <c r="AE52" s="5"/>
      <c r="AF52" s="6"/>
      <c r="AG52" s="5"/>
      <c r="AH52" s="6"/>
      <c r="AI52" s="5"/>
      <c r="AJ52" s="136"/>
    </row>
    <row r="53" spans="1:44" ht="6" customHeight="1">
      <c r="D53" s="13"/>
      <c r="E53" s="13"/>
      <c r="F53" s="13"/>
      <c r="G53" s="13"/>
      <c r="H53" s="13"/>
      <c r="N53" s="4"/>
      <c r="O53" s="19"/>
      <c r="P53" s="19"/>
      <c r="Q53" s="19"/>
      <c r="R53" s="19"/>
      <c r="S53" s="19"/>
      <c r="T53" s="19"/>
      <c r="U53" s="25"/>
    </row>
    <row r="54" spans="1:44" ht="15.95" customHeight="1">
      <c r="A54" s="11">
        <v>5</v>
      </c>
      <c r="B54" s="32" t="s">
        <v>205</v>
      </c>
      <c r="I54" s="93"/>
      <c r="J54" s="93"/>
      <c r="K54" s="96"/>
      <c r="L54" s="93"/>
      <c r="N54" s="4"/>
      <c r="O54" s="19"/>
      <c r="P54" s="19"/>
      <c r="Q54" s="19"/>
      <c r="R54" s="19"/>
      <c r="S54" s="19"/>
      <c r="T54" s="19"/>
      <c r="U54" s="25"/>
    </row>
    <row r="55" spans="1:44" ht="15.95" customHeight="1">
      <c r="B55" s="14" t="s">
        <v>204</v>
      </c>
      <c r="F55" s="87"/>
      <c r="G55" s="505" t="s">
        <v>203</v>
      </c>
      <c r="H55" s="505"/>
      <c r="I55" s="505" t="s">
        <v>202</v>
      </c>
      <c r="J55" s="505"/>
      <c r="K55" s="87" t="s">
        <v>202</v>
      </c>
      <c r="L55" s="87"/>
      <c r="M55" s="87"/>
      <c r="N55" s="9"/>
      <c r="O55" s="19"/>
      <c r="P55" s="19"/>
      <c r="Q55" s="19"/>
      <c r="R55" s="19"/>
      <c r="S55" s="19"/>
      <c r="T55" s="19"/>
      <c r="U55" s="25"/>
    </row>
    <row r="56" spans="1:44" ht="15.95" customHeight="1">
      <c r="B56" s="14"/>
      <c r="F56" s="87"/>
      <c r="G56" s="87"/>
      <c r="H56" s="87"/>
      <c r="I56" s="87" t="s">
        <v>201</v>
      </c>
      <c r="J56" s="93"/>
      <c r="K56" s="12" t="s">
        <v>200</v>
      </c>
      <c r="L56" s="12"/>
      <c r="N56" s="9"/>
      <c r="O56" s="19"/>
      <c r="P56" s="19"/>
      <c r="Q56" s="19"/>
      <c r="R56" s="19"/>
      <c r="S56" s="19"/>
      <c r="T56" s="19"/>
      <c r="U56" s="25"/>
      <c r="AM56" s="500"/>
      <c r="AN56" s="500"/>
      <c r="AO56" s="500"/>
      <c r="AP56" s="500"/>
      <c r="AQ56" s="500"/>
      <c r="AR56" s="500"/>
    </row>
    <row r="57" spans="1:44" ht="5.45" customHeight="1">
      <c r="B57" s="14"/>
      <c r="F57" s="87"/>
      <c r="G57" s="87"/>
      <c r="H57" s="87"/>
      <c r="J57" s="93"/>
      <c r="K57" s="87"/>
      <c r="L57" s="9"/>
      <c r="N57" s="9"/>
      <c r="O57" s="19"/>
      <c r="P57" s="19"/>
      <c r="Q57" s="19"/>
      <c r="R57" s="19"/>
      <c r="S57" s="19"/>
      <c r="T57" s="19"/>
      <c r="U57" s="25"/>
    </row>
    <row r="58" spans="1:44" s="142" customFormat="1" ht="15.95" customHeight="1">
      <c r="A58" s="255">
        <v>5.0999999999999996</v>
      </c>
      <c r="B58" s="506" t="s">
        <v>199</v>
      </c>
      <c r="C58" s="506"/>
      <c r="D58" s="506"/>
      <c r="E58" s="506"/>
      <c r="F58" s="506"/>
      <c r="G58" s="156">
        <v>0</v>
      </c>
      <c r="H58" s="150"/>
      <c r="I58" s="156">
        <v>0</v>
      </c>
      <c r="J58" s="157"/>
      <c r="K58" s="156">
        <v>0</v>
      </c>
      <c r="L58" s="149"/>
      <c r="M58" s="492" t="str">
        <f>IF(SUM(G58:G60, G69)&gt;DGL,"la surface des SPB consacrée aux prairies ne doit pas dépasser les prairies permanentes","")</f>
        <v/>
      </c>
      <c r="N58" s="87"/>
      <c r="O58" s="148"/>
      <c r="P58" s="148"/>
      <c r="Q58" s="148"/>
      <c r="R58" s="148"/>
      <c r="S58" s="148"/>
      <c r="T58" s="148"/>
      <c r="U58" s="147"/>
      <c r="V58" s="146"/>
      <c r="W58" s="146"/>
      <c r="X58" s="145"/>
      <c r="Y58" s="144"/>
      <c r="Z58" s="145"/>
      <c r="AA58" s="144"/>
      <c r="AB58" s="145"/>
      <c r="AC58" s="144"/>
      <c r="AD58" s="145"/>
      <c r="AE58" s="144"/>
      <c r="AF58" s="145"/>
      <c r="AG58" s="144"/>
      <c r="AH58" s="145"/>
      <c r="AI58" s="144"/>
      <c r="AJ58" s="143"/>
      <c r="AM58" s="161"/>
    </row>
    <row r="59" spans="1:44" s="142" customFormat="1" ht="15.95" customHeight="1">
      <c r="A59" s="255">
        <v>5.2</v>
      </c>
      <c r="B59" s="506" t="s">
        <v>198</v>
      </c>
      <c r="C59" s="506"/>
      <c r="D59" s="506"/>
      <c r="E59" s="506"/>
      <c r="F59" s="506"/>
      <c r="G59" s="156">
        <v>0</v>
      </c>
      <c r="H59" s="150"/>
      <c r="I59" s="156">
        <v>0</v>
      </c>
      <c r="J59" s="157"/>
      <c r="K59" s="156">
        <v>0</v>
      </c>
      <c r="L59" s="149"/>
      <c r="M59" s="87"/>
      <c r="N59" s="87"/>
      <c r="O59" s="148"/>
      <c r="P59" s="148"/>
      <c r="Q59" s="148"/>
      <c r="R59" s="148"/>
      <c r="S59" s="148"/>
      <c r="T59" s="148"/>
      <c r="U59" s="147"/>
      <c r="V59" s="146"/>
      <c r="W59" s="146"/>
      <c r="X59" s="145"/>
      <c r="Y59" s="144"/>
      <c r="Z59" s="145"/>
      <c r="AA59" s="144"/>
      <c r="AB59" s="145"/>
      <c r="AC59" s="144"/>
      <c r="AD59" s="145"/>
      <c r="AE59" s="144"/>
      <c r="AF59" s="145"/>
      <c r="AG59" s="144"/>
      <c r="AH59" s="145"/>
      <c r="AI59" s="144"/>
      <c r="AJ59" s="143"/>
      <c r="AL59" s="161"/>
    </row>
    <row r="60" spans="1:44" s="142" customFormat="1" ht="15.95" customHeight="1">
      <c r="A60" s="255">
        <v>5.3</v>
      </c>
      <c r="B60" s="506" t="s">
        <v>197</v>
      </c>
      <c r="C60" s="506"/>
      <c r="D60" s="506"/>
      <c r="E60" s="506"/>
      <c r="F60" s="506"/>
      <c r="G60" s="156">
        <v>0</v>
      </c>
      <c r="H60" s="150"/>
      <c r="I60" s="156">
        <v>0</v>
      </c>
      <c r="J60" s="157"/>
      <c r="K60" s="156">
        <v>0</v>
      </c>
      <c r="L60" s="149"/>
      <c r="M60" s="87"/>
      <c r="N60" s="87"/>
      <c r="O60" s="148"/>
      <c r="P60" s="148"/>
      <c r="Q60" s="148"/>
      <c r="R60" s="148"/>
      <c r="S60" s="148"/>
      <c r="T60" s="148"/>
      <c r="U60" s="147"/>
      <c r="V60" s="146"/>
      <c r="W60" s="146"/>
      <c r="X60" s="145"/>
      <c r="Y60" s="144"/>
      <c r="Z60" s="145"/>
      <c r="AA60" s="144"/>
      <c r="AB60" s="145"/>
      <c r="AC60" s="144"/>
      <c r="AD60" s="145"/>
      <c r="AE60" s="144"/>
      <c r="AF60" s="145"/>
      <c r="AG60" s="144"/>
      <c r="AH60" s="145"/>
      <c r="AI60" s="144"/>
      <c r="AJ60" s="143"/>
      <c r="AL60" s="161"/>
      <c r="AM60" s="14"/>
    </row>
    <row r="61" spans="1:44" s="142" customFormat="1" ht="15.95" customHeight="1">
      <c r="A61" s="255">
        <v>5.4</v>
      </c>
      <c r="B61" s="506" t="s">
        <v>196</v>
      </c>
      <c r="C61" s="506"/>
      <c r="D61" s="506"/>
      <c r="E61" s="506"/>
      <c r="F61" s="506"/>
      <c r="G61" s="156">
        <v>0</v>
      </c>
      <c r="H61" s="150"/>
      <c r="I61" s="155">
        <f>G61</f>
        <v>0</v>
      </c>
      <c r="J61" s="157"/>
      <c r="K61" s="155">
        <f>G61</f>
        <v>0</v>
      </c>
      <c r="L61" s="149"/>
      <c r="M61" s="87"/>
      <c r="N61" s="87"/>
      <c r="O61" s="148"/>
      <c r="P61" s="148"/>
      <c r="Q61" s="148"/>
      <c r="R61" s="148"/>
      <c r="S61" s="148"/>
      <c r="T61" s="148"/>
      <c r="U61" s="147"/>
      <c r="V61" s="146"/>
      <c r="W61" s="146"/>
      <c r="X61" s="145"/>
      <c r="Y61" s="144"/>
      <c r="Z61" s="145"/>
      <c r="AA61" s="144"/>
      <c r="AB61" s="145"/>
      <c r="AC61" s="144"/>
      <c r="AD61" s="145"/>
      <c r="AE61" s="144"/>
      <c r="AF61" s="145"/>
      <c r="AG61" s="144"/>
      <c r="AH61" s="145"/>
      <c r="AI61" s="144"/>
      <c r="AJ61" s="143"/>
      <c r="AL61" s="161"/>
    </row>
    <row r="62" spans="1:44" s="142" customFormat="1" ht="15.95" customHeight="1">
      <c r="A62" s="255">
        <v>5.5</v>
      </c>
      <c r="B62" s="506" t="s">
        <v>195</v>
      </c>
      <c r="C62" s="506"/>
      <c r="D62" s="506"/>
      <c r="E62" s="506"/>
      <c r="F62" s="506"/>
      <c r="G62" s="156">
        <v>0</v>
      </c>
      <c r="H62" s="150"/>
      <c r="I62" s="155">
        <f>G62</f>
        <v>0</v>
      </c>
      <c r="J62" s="157"/>
      <c r="K62" s="155">
        <f>G62</f>
        <v>0</v>
      </c>
      <c r="L62" s="149"/>
      <c r="M62" s="87"/>
      <c r="N62" s="87"/>
      <c r="O62" s="148"/>
      <c r="P62" s="148"/>
      <c r="Q62" s="148"/>
      <c r="R62" s="148"/>
      <c r="S62" s="148"/>
      <c r="T62" s="148"/>
      <c r="U62" s="147"/>
      <c r="V62" s="146"/>
      <c r="W62" s="146"/>
      <c r="X62" s="145"/>
      <c r="Y62" s="144"/>
      <c r="Z62" s="145"/>
      <c r="AA62" s="144"/>
      <c r="AB62" s="145"/>
      <c r="AC62" s="144"/>
      <c r="AD62" s="145"/>
      <c r="AE62" s="144"/>
      <c r="AF62" s="145"/>
      <c r="AG62" s="144"/>
      <c r="AH62" s="145"/>
      <c r="AI62" s="144"/>
      <c r="AJ62" s="143"/>
    </row>
    <row r="63" spans="1:44" s="142" customFormat="1" ht="15.95" customHeight="1">
      <c r="A63" s="255">
        <v>5.6</v>
      </c>
      <c r="B63" s="506" t="s">
        <v>194</v>
      </c>
      <c r="C63" s="506"/>
      <c r="D63" s="506"/>
      <c r="E63" s="506"/>
      <c r="F63" s="506"/>
      <c r="G63" s="156">
        <v>0</v>
      </c>
      <c r="H63" s="150"/>
      <c r="I63" s="155">
        <f>G63</f>
        <v>0</v>
      </c>
      <c r="J63" s="157"/>
      <c r="K63" s="155">
        <f>G63</f>
        <v>0</v>
      </c>
      <c r="L63" s="149"/>
      <c r="M63" s="87"/>
      <c r="N63" s="87"/>
      <c r="O63" s="148"/>
      <c r="P63" s="148"/>
      <c r="Q63" s="148"/>
      <c r="R63" s="148"/>
      <c r="S63" s="148"/>
      <c r="T63" s="148"/>
      <c r="U63" s="147"/>
      <c r="V63" s="146"/>
      <c r="W63" s="146"/>
      <c r="X63" s="145"/>
      <c r="Y63" s="144"/>
      <c r="Z63" s="145"/>
      <c r="AA63" s="144"/>
      <c r="AB63" s="145"/>
      <c r="AC63" s="144"/>
      <c r="AD63" s="145"/>
      <c r="AE63" s="144"/>
      <c r="AF63" s="145"/>
      <c r="AG63" s="144"/>
      <c r="AH63" s="145"/>
      <c r="AI63" s="144"/>
      <c r="AJ63" s="143"/>
      <c r="AL63" s="161"/>
    </row>
    <row r="64" spans="1:44" s="142" customFormat="1" ht="15.95" customHeight="1">
      <c r="A64" s="255">
        <v>5.7</v>
      </c>
      <c r="B64" s="506" t="s">
        <v>193</v>
      </c>
      <c r="C64" s="506"/>
      <c r="D64" s="506"/>
      <c r="E64" s="506"/>
      <c r="F64" s="506"/>
      <c r="G64" s="156">
        <v>0</v>
      </c>
      <c r="H64" s="150"/>
      <c r="I64" s="155">
        <f>G64</f>
        <v>0</v>
      </c>
      <c r="J64" s="157"/>
      <c r="L64" s="149"/>
      <c r="M64" s="87"/>
      <c r="N64" s="87"/>
      <c r="O64" s="148"/>
      <c r="P64" s="148"/>
      <c r="Q64" s="148"/>
      <c r="R64" s="148"/>
      <c r="S64" s="148"/>
      <c r="T64" s="148"/>
      <c r="U64" s="147"/>
      <c r="V64" s="146"/>
      <c r="W64" s="146"/>
      <c r="X64" s="145"/>
      <c r="Y64" s="144"/>
      <c r="Z64" s="145"/>
      <c r="AA64" s="144"/>
      <c r="AB64" s="145"/>
      <c r="AC64" s="144"/>
      <c r="AD64" s="145"/>
      <c r="AE64" s="144"/>
      <c r="AF64" s="145"/>
      <c r="AG64" s="144"/>
      <c r="AH64" s="145"/>
      <c r="AI64" s="144"/>
      <c r="AJ64" s="143"/>
    </row>
    <row r="65" spans="1:40" s="142" customFormat="1" ht="15.95" customHeight="1">
      <c r="A65" s="255">
        <v>5.8</v>
      </c>
      <c r="B65" s="506" t="s">
        <v>192</v>
      </c>
      <c r="C65" s="506"/>
      <c r="D65" s="506"/>
      <c r="E65" s="506"/>
      <c r="F65" s="506"/>
      <c r="G65" s="156">
        <v>0</v>
      </c>
      <c r="H65" s="150"/>
      <c r="J65" s="157"/>
      <c r="L65" s="160"/>
      <c r="M65" s="87"/>
      <c r="N65" s="87"/>
      <c r="O65" s="148"/>
      <c r="P65" s="148"/>
      <c r="Q65" s="148"/>
      <c r="R65" s="148"/>
      <c r="S65" s="148"/>
      <c r="T65" s="148"/>
      <c r="U65" s="147"/>
      <c r="V65" s="146"/>
      <c r="W65" s="146"/>
      <c r="X65" s="145"/>
      <c r="Y65" s="144"/>
      <c r="Z65" s="145"/>
      <c r="AA65" s="144"/>
      <c r="AB65" s="145"/>
      <c r="AC65" s="144"/>
      <c r="AD65" s="145"/>
      <c r="AE65" s="144"/>
      <c r="AF65" s="145"/>
      <c r="AG65" s="144"/>
      <c r="AH65" s="145"/>
      <c r="AI65" s="144"/>
      <c r="AJ65" s="143"/>
    </row>
    <row r="66" spans="1:40" ht="15.95" customHeight="1">
      <c r="A66" s="255"/>
      <c r="B66" s="500" t="s">
        <v>191</v>
      </c>
      <c r="C66" s="500"/>
      <c r="D66" s="500"/>
      <c r="E66" s="500"/>
      <c r="F66" s="500"/>
      <c r="G66" s="76"/>
      <c r="H66" s="76"/>
      <c r="I66" s="64">
        <v>0</v>
      </c>
      <c r="J66" s="93"/>
      <c r="K66" s="76">
        <f t="shared" ref="K66" si="0">+G66</f>
        <v>0</v>
      </c>
      <c r="L66" s="149"/>
      <c r="M66" s="87"/>
      <c r="N66" s="87"/>
      <c r="O66" s="19"/>
      <c r="P66" s="19"/>
      <c r="Q66" s="19"/>
      <c r="R66" s="19"/>
      <c r="S66" s="19"/>
      <c r="T66" s="19"/>
      <c r="U66" s="25"/>
      <c r="AJ66" s="95"/>
      <c r="AK66" s="94"/>
      <c r="AL66" s="94"/>
      <c r="AM66" s="94"/>
      <c r="AN66" s="94"/>
    </row>
    <row r="67" spans="1:40" s="142" customFormat="1" ht="33" customHeight="1">
      <c r="A67" s="262" t="s">
        <v>48</v>
      </c>
      <c r="B67" s="508" t="s">
        <v>190</v>
      </c>
      <c r="C67" s="508"/>
      <c r="D67" s="508"/>
      <c r="E67" s="508"/>
      <c r="F67" s="508"/>
      <c r="G67" s="156">
        <v>0</v>
      </c>
      <c r="H67" s="150"/>
      <c r="J67" s="157"/>
      <c r="L67" s="149"/>
      <c r="M67" s="87"/>
      <c r="N67" s="87"/>
      <c r="O67" s="148"/>
      <c r="P67" s="148"/>
      <c r="Q67" s="148"/>
      <c r="R67" s="148"/>
      <c r="S67" s="148"/>
      <c r="T67" s="148"/>
      <c r="U67" s="147"/>
      <c r="V67" s="151"/>
      <c r="W67" s="151"/>
      <c r="X67" s="151"/>
      <c r="Y67" s="151"/>
      <c r="Z67" s="151"/>
      <c r="AA67" s="151"/>
      <c r="AB67" s="151"/>
      <c r="AC67" s="151"/>
      <c r="AD67" s="151"/>
      <c r="AE67" s="151"/>
      <c r="AF67" s="151"/>
      <c r="AG67" s="151"/>
      <c r="AH67" s="151"/>
      <c r="AI67" s="151"/>
      <c r="AJ67" s="154"/>
    </row>
    <row r="68" spans="1:40" s="142" customFormat="1" ht="15.95" customHeight="1">
      <c r="A68" s="255">
        <v>5.9</v>
      </c>
      <c r="B68" s="506" t="s">
        <v>189</v>
      </c>
      <c r="C68" s="506"/>
      <c r="D68" s="506"/>
      <c r="E68" s="506"/>
      <c r="F68" s="506"/>
      <c r="G68" s="156">
        <v>0</v>
      </c>
      <c r="H68" s="150"/>
      <c r="I68" s="156">
        <v>0</v>
      </c>
      <c r="J68" s="157"/>
      <c r="K68" s="156">
        <v>0</v>
      </c>
      <c r="L68" s="149"/>
      <c r="M68" s="87"/>
      <c r="N68" s="87"/>
      <c r="O68" s="148"/>
      <c r="P68" s="148"/>
      <c r="Q68" s="148"/>
      <c r="R68" s="148"/>
      <c r="S68" s="148"/>
      <c r="T68" s="148"/>
      <c r="U68" s="147"/>
      <c r="V68" s="151"/>
      <c r="W68" s="151"/>
      <c r="X68" s="151"/>
      <c r="Y68" s="151"/>
      <c r="Z68" s="151"/>
      <c r="AA68" s="151"/>
      <c r="AB68" s="151"/>
      <c r="AC68" s="151"/>
      <c r="AD68" s="151"/>
      <c r="AE68" s="151"/>
      <c r="AF68" s="151"/>
      <c r="AG68" s="151"/>
      <c r="AH68" s="151"/>
      <c r="AI68" s="151"/>
      <c r="AJ68" s="154"/>
    </row>
    <row r="69" spans="1:40" s="142" customFormat="1" ht="15.95" customHeight="1">
      <c r="A69" s="263" t="s">
        <v>12</v>
      </c>
      <c r="B69" s="506" t="s">
        <v>188</v>
      </c>
      <c r="C69" s="506"/>
      <c r="D69" s="506"/>
      <c r="E69" s="506"/>
      <c r="F69" s="506"/>
      <c r="G69" s="156">
        <v>0</v>
      </c>
      <c r="H69" s="150"/>
      <c r="I69" s="219">
        <f t="shared" ref="I69" si="1">G69</f>
        <v>0</v>
      </c>
      <c r="J69" s="157"/>
      <c r="K69" s="156">
        <v>0</v>
      </c>
      <c r="L69" s="149"/>
      <c r="M69" s="87"/>
      <c r="N69" s="87"/>
      <c r="O69" s="148"/>
      <c r="P69" s="148"/>
      <c r="Q69" s="148"/>
      <c r="R69" s="148"/>
      <c r="S69" s="148"/>
      <c r="T69" s="148"/>
      <c r="U69" s="147"/>
      <c r="V69" s="151"/>
      <c r="W69" s="151"/>
      <c r="X69" s="151"/>
      <c r="Y69" s="151"/>
      <c r="Z69" s="151"/>
      <c r="AA69" s="151"/>
      <c r="AB69" s="151"/>
      <c r="AC69" s="151"/>
      <c r="AD69" s="151"/>
      <c r="AE69" s="151"/>
      <c r="AF69" s="151"/>
      <c r="AG69" s="151"/>
      <c r="AH69" s="151"/>
      <c r="AI69" s="151"/>
      <c r="AJ69" s="158"/>
    </row>
    <row r="70" spans="1:40" s="142" customFormat="1" ht="15.95" customHeight="1">
      <c r="A70" s="255">
        <v>5.1100000000000003</v>
      </c>
      <c r="B70" s="506" t="s">
        <v>485</v>
      </c>
      <c r="C70" s="506"/>
      <c r="D70" s="506"/>
      <c r="E70" s="506"/>
      <c r="F70" s="506"/>
      <c r="G70" s="156">
        <v>0</v>
      </c>
      <c r="H70" s="150"/>
      <c r="K70" s="156">
        <v>0</v>
      </c>
      <c r="L70" s="149"/>
      <c r="M70" s="87"/>
      <c r="N70" s="87"/>
      <c r="O70" s="148"/>
      <c r="P70" s="148"/>
      <c r="Q70" s="148"/>
      <c r="R70" s="148"/>
      <c r="S70" s="148"/>
      <c r="T70" s="148"/>
      <c r="U70" s="147"/>
      <c r="V70" s="151"/>
      <c r="W70" s="151"/>
      <c r="X70" s="151"/>
      <c r="Y70" s="151"/>
      <c r="Z70" s="151"/>
      <c r="AA70" s="151"/>
      <c r="AB70" s="151"/>
      <c r="AC70" s="151"/>
      <c r="AD70" s="151"/>
      <c r="AE70" s="151"/>
      <c r="AF70" s="151"/>
      <c r="AG70" s="151"/>
      <c r="AH70" s="151"/>
      <c r="AI70" s="151"/>
      <c r="AJ70" s="158"/>
    </row>
    <row r="71" spans="1:40" s="142" customFormat="1" ht="32.25" customHeight="1">
      <c r="A71" s="263">
        <v>5.12</v>
      </c>
      <c r="B71" s="508" t="s">
        <v>187</v>
      </c>
      <c r="C71" s="508"/>
      <c r="D71" s="508"/>
      <c r="E71" s="508"/>
      <c r="F71" s="508"/>
      <c r="G71" s="156">
        <v>0</v>
      </c>
      <c r="H71" s="150"/>
      <c r="I71" s="156">
        <v>0</v>
      </c>
      <c r="J71" s="157"/>
      <c r="K71" s="156">
        <v>0</v>
      </c>
      <c r="L71" s="149"/>
      <c r="M71" s="87"/>
      <c r="N71" s="87"/>
      <c r="O71" s="148"/>
      <c r="P71" s="148"/>
      <c r="Q71" s="148"/>
      <c r="R71" s="148"/>
      <c r="S71" s="148"/>
      <c r="T71" s="148"/>
      <c r="U71" s="147"/>
      <c r="V71" s="151"/>
      <c r="W71" s="151"/>
      <c r="X71" s="151"/>
      <c r="Y71" s="151"/>
      <c r="Z71" s="151"/>
      <c r="AA71" s="151"/>
      <c r="AB71" s="151"/>
      <c r="AC71" s="151"/>
      <c r="AD71" s="151"/>
      <c r="AE71" s="151"/>
      <c r="AF71" s="151"/>
      <c r="AG71" s="151"/>
      <c r="AH71" s="151"/>
      <c r="AI71" s="151"/>
      <c r="AJ71" s="154"/>
    </row>
    <row r="72" spans="1:40" s="142" customFormat="1" ht="15.95" customHeight="1">
      <c r="A72" s="263">
        <v>5.13</v>
      </c>
      <c r="B72" s="506" t="s">
        <v>186</v>
      </c>
      <c r="C72" s="506"/>
      <c r="D72" s="506"/>
      <c r="E72" s="506"/>
      <c r="F72" s="506"/>
      <c r="G72" s="156">
        <v>0</v>
      </c>
      <c r="H72" s="150"/>
      <c r="I72" s="151"/>
      <c r="J72" s="151"/>
      <c r="L72" s="149"/>
      <c r="M72" s="87"/>
      <c r="N72" s="87"/>
      <c r="O72" s="148"/>
      <c r="P72" s="148"/>
      <c r="Q72" s="148"/>
      <c r="R72" s="148"/>
      <c r="S72" s="148"/>
      <c r="T72" s="148"/>
      <c r="U72" s="147"/>
      <c r="V72" s="151"/>
      <c r="W72" s="151"/>
      <c r="X72" s="151"/>
      <c r="Y72" s="151"/>
      <c r="Z72" s="151"/>
      <c r="AA72" s="151"/>
      <c r="AB72" s="151"/>
      <c r="AC72" s="151"/>
      <c r="AD72" s="151"/>
      <c r="AE72" s="151"/>
      <c r="AF72" s="151"/>
      <c r="AG72" s="151"/>
      <c r="AH72" s="151"/>
      <c r="AI72" s="151"/>
      <c r="AJ72" s="154"/>
    </row>
    <row r="73" spans="1:40" s="142" customFormat="1">
      <c r="A73" s="263">
        <v>5.14</v>
      </c>
      <c r="B73" s="506" t="s">
        <v>185</v>
      </c>
      <c r="C73" s="506"/>
      <c r="D73" s="506"/>
      <c r="E73" s="506"/>
      <c r="F73" s="506"/>
      <c r="G73" s="152">
        <v>0</v>
      </c>
      <c r="H73" s="150"/>
      <c r="I73" s="152">
        <v>0</v>
      </c>
      <c r="J73" s="151"/>
      <c r="M73" s="87"/>
      <c r="N73" s="87"/>
      <c r="O73" s="148"/>
      <c r="P73" s="148"/>
      <c r="Q73" s="148"/>
      <c r="R73" s="148"/>
      <c r="S73" s="148"/>
      <c r="T73" s="148"/>
      <c r="U73" s="147"/>
      <c r="V73" s="146"/>
      <c r="W73" s="146"/>
      <c r="X73" s="145"/>
      <c r="Y73" s="144"/>
      <c r="Z73" s="145"/>
      <c r="AA73" s="144"/>
      <c r="AB73" s="145"/>
      <c r="AC73" s="144"/>
      <c r="AD73" s="145"/>
      <c r="AE73" s="144"/>
      <c r="AF73" s="145"/>
      <c r="AG73" s="144"/>
      <c r="AH73" s="145"/>
      <c r="AI73" s="144"/>
      <c r="AJ73" s="143"/>
    </row>
    <row r="74" spans="1:40">
      <c r="A74" s="263"/>
      <c r="B74" s="47" t="s">
        <v>1</v>
      </c>
      <c r="C74" s="501" t="s">
        <v>184</v>
      </c>
      <c r="D74" s="501"/>
      <c r="E74" s="501"/>
      <c r="F74" s="501"/>
      <c r="G74" s="76">
        <f>+G73*0.01</f>
        <v>0</v>
      </c>
      <c r="H74" s="9"/>
      <c r="I74" s="76">
        <f>+I73*0.01</f>
        <v>0</v>
      </c>
      <c r="J74" s="9"/>
      <c r="K74" s="87"/>
      <c r="L74" s="87"/>
      <c r="M74" s="87"/>
      <c r="N74" s="87"/>
      <c r="O74" s="19"/>
      <c r="P74" s="19"/>
      <c r="Q74" s="19"/>
      <c r="R74" s="19"/>
      <c r="S74" s="19"/>
      <c r="T74" s="19"/>
      <c r="U74" s="25"/>
    </row>
    <row r="75" spans="1:40" ht="9" customHeight="1">
      <c r="A75" s="255"/>
      <c r="B75" s="32"/>
      <c r="C75" s="87"/>
      <c r="K75" s="9"/>
      <c r="L75" s="9"/>
      <c r="N75" s="4"/>
      <c r="O75" s="19"/>
      <c r="P75" s="19"/>
      <c r="Q75" s="19"/>
      <c r="R75" s="19"/>
      <c r="S75" s="19"/>
      <c r="T75" s="19"/>
      <c r="U75" s="25"/>
    </row>
    <row r="76" spans="1:40" ht="15.95" customHeight="1">
      <c r="A76" s="263" t="s">
        <v>49</v>
      </c>
      <c r="B76" s="500" t="s">
        <v>183</v>
      </c>
      <c r="C76" s="500"/>
      <c r="D76" s="500"/>
      <c r="E76" s="500"/>
      <c r="F76" s="500"/>
      <c r="G76" s="76">
        <f>+SUM(G58:G65, G68:G72) + (G67*0.05)</f>
        <v>0</v>
      </c>
      <c r="H76" s="14"/>
      <c r="I76" s="76">
        <f>SUM(I58:I71)</f>
        <v>0</v>
      </c>
      <c r="K76" s="76">
        <f>SUM(K58:K72)</f>
        <v>0</v>
      </c>
      <c r="L76" s="76"/>
      <c r="M76" s="76"/>
      <c r="N76" s="4"/>
      <c r="O76" s="19"/>
      <c r="P76" s="19"/>
      <c r="Q76" s="19"/>
      <c r="R76" s="19"/>
      <c r="S76" s="19"/>
      <c r="T76" s="19"/>
      <c r="U76" s="25"/>
    </row>
    <row r="77" spans="1:40" ht="15.95" customHeight="1">
      <c r="A77" s="263" t="s">
        <v>13</v>
      </c>
      <c r="B77" s="500" t="s">
        <v>175</v>
      </c>
      <c r="C77" s="500"/>
      <c r="D77" s="500"/>
      <c r="E77" s="500"/>
      <c r="F77" s="500"/>
      <c r="G77" s="85">
        <f>+G76/LN</f>
        <v>0</v>
      </c>
      <c r="H77" s="14"/>
      <c r="I77" s="14"/>
      <c r="M77" s="89"/>
      <c r="N77" s="4"/>
      <c r="O77" s="19"/>
      <c r="P77" s="19"/>
      <c r="Q77" s="19"/>
      <c r="R77" s="19"/>
      <c r="S77" s="19"/>
      <c r="T77" s="19"/>
      <c r="U77" s="25"/>
      <c r="W77" s="7">
        <f>+IF(G77&lt;=0.056,1,0)</f>
        <v>1</v>
      </c>
    </row>
    <row r="78" spans="1:40" ht="6" customHeight="1">
      <c r="B78" s="32"/>
      <c r="C78" s="88"/>
      <c r="G78" s="14"/>
      <c r="H78" s="14"/>
      <c r="I78" s="14"/>
      <c r="N78" s="4"/>
      <c r="O78" s="19"/>
      <c r="P78" s="19"/>
      <c r="Q78" s="19"/>
      <c r="R78" s="19"/>
      <c r="S78" s="19"/>
      <c r="T78" s="19"/>
      <c r="U78" s="25"/>
    </row>
    <row r="79" spans="1:40" ht="15.95" customHeight="1">
      <c r="A79" s="11">
        <v>5.16</v>
      </c>
      <c r="B79" s="14" t="s">
        <v>182</v>
      </c>
      <c r="E79" s="87"/>
      <c r="G79" s="76">
        <f>+öAF_ohne_Bäume+G74</f>
        <v>0</v>
      </c>
      <c r="H79" s="14"/>
      <c r="I79" s="26">
        <f>I76+I74</f>
        <v>0</v>
      </c>
      <c r="M79" s="89"/>
      <c r="N79" s="4"/>
      <c r="O79" s="19"/>
      <c r="P79" s="19"/>
      <c r="Q79" s="19"/>
      <c r="R79" s="19"/>
      <c r="S79" s="19"/>
      <c r="T79" s="19"/>
      <c r="U79" s="25"/>
      <c r="W79" s="7">
        <f>+IF(G76/LN&lt;0.072,1,0)</f>
        <v>1</v>
      </c>
    </row>
    <row r="80" spans="1:40" ht="6" customHeight="1">
      <c r="B80" s="14"/>
      <c r="E80" s="87"/>
      <c r="G80" s="76"/>
      <c r="H80" s="14"/>
      <c r="I80" s="14"/>
      <c r="M80" s="89"/>
      <c r="N80" s="4"/>
      <c r="O80" s="19"/>
      <c r="P80" s="19"/>
      <c r="Q80" s="19"/>
      <c r="R80" s="19"/>
      <c r="S80" s="19"/>
      <c r="T80" s="19"/>
      <c r="U80" s="25"/>
    </row>
    <row r="81" spans="1:41" s="203" customFormat="1" ht="15.95" customHeight="1">
      <c r="A81" s="215"/>
      <c r="B81" s="219">
        <f>LN-Spezialkulturen</f>
        <v>1</v>
      </c>
      <c r="C81" s="200" t="s">
        <v>297</v>
      </c>
      <c r="E81" s="239"/>
      <c r="G81" s="219"/>
      <c r="H81" s="200"/>
      <c r="I81" s="200"/>
      <c r="L81" s="200"/>
      <c r="M81" s="242"/>
      <c r="N81" s="227"/>
      <c r="O81" s="224"/>
      <c r="P81" s="224"/>
      <c r="Q81" s="224"/>
      <c r="R81" s="224"/>
      <c r="S81" s="224"/>
      <c r="T81" s="224"/>
      <c r="U81" s="228"/>
      <c r="V81" s="196"/>
      <c r="W81" s="196"/>
      <c r="X81" s="197"/>
      <c r="Y81" s="198"/>
      <c r="Z81" s="197"/>
      <c r="AA81" s="198"/>
      <c r="AB81" s="197"/>
      <c r="AC81" s="198"/>
      <c r="AD81" s="197"/>
      <c r="AE81" s="198"/>
      <c r="AF81" s="197"/>
      <c r="AG81" s="198"/>
      <c r="AH81" s="197"/>
      <c r="AI81" s="198"/>
      <c r="AJ81" s="207"/>
      <c r="AK81" s="208"/>
      <c r="AL81" s="208"/>
      <c r="AM81" s="208"/>
      <c r="AN81" s="208"/>
    </row>
    <row r="82" spans="1:41" s="203" customFormat="1" ht="15.95" customHeight="1">
      <c r="A82" s="215"/>
      <c r="B82" s="219">
        <f>Spezialkulturen</f>
        <v>0</v>
      </c>
      <c r="C82" s="200" t="s">
        <v>298</v>
      </c>
      <c r="E82" s="239"/>
      <c r="G82" s="219"/>
      <c r="H82" s="200"/>
      <c r="I82" s="200"/>
      <c r="L82" s="200"/>
      <c r="M82" s="242"/>
      <c r="N82" s="227"/>
      <c r="O82" s="224"/>
      <c r="P82" s="224"/>
      <c r="Q82" s="224"/>
      <c r="R82" s="224"/>
      <c r="S82" s="224"/>
      <c r="T82" s="224"/>
      <c r="U82" s="228"/>
      <c r="V82" s="196"/>
      <c r="W82" s="196"/>
      <c r="X82" s="197"/>
      <c r="Y82" s="198"/>
      <c r="Z82" s="197"/>
      <c r="AA82" s="198"/>
      <c r="AB82" s="197"/>
      <c r="AC82" s="198"/>
      <c r="AD82" s="197"/>
      <c r="AE82" s="198"/>
      <c r="AF82" s="197"/>
      <c r="AG82" s="198"/>
      <c r="AH82" s="197"/>
      <c r="AI82" s="198"/>
      <c r="AJ82" s="207"/>
      <c r="AK82" s="208"/>
      <c r="AL82" s="208"/>
      <c r="AM82" s="208"/>
      <c r="AN82" s="208"/>
    </row>
    <row r="83" spans="1:41" s="203" customFormat="1" ht="15.95" customHeight="1">
      <c r="A83" s="199"/>
      <c r="B83" s="200" t="s">
        <v>299</v>
      </c>
      <c r="E83" s="239"/>
      <c r="G83" s="240">
        <f>(Spezialkulturen*0.05 + (LN-Spezialkulturen)*0.09)/LN</f>
        <v>0.09</v>
      </c>
      <c r="H83" s="219"/>
      <c r="I83" s="219"/>
      <c r="L83" s="200"/>
      <c r="M83" s="242"/>
      <c r="N83" s="227"/>
      <c r="O83" s="224"/>
      <c r="P83" s="224"/>
      <c r="Q83" s="224"/>
      <c r="R83" s="224"/>
      <c r="S83" s="224"/>
      <c r="T83" s="224"/>
      <c r="U83" s="228"/>
      <c r="V83" s="196"/>
      <c r="W83" s="196"/>
      <c r="X83" s="197"/>
      <c r="Y83" s="198"/>
      <c r="Z83" s="197"/>
      <c r="AA83" s="198"/>
      <c r="AB83" s="197"/>
      <c r="AC83" s="198"/>
      <c r="AD83" s="197"/>
      <c r="AE83" s="198"/>
      <c r="AF83" s="197"/>
      <c r="AG83" s="198"/>
      <c r="AH83" s="197"/>
      <c r="AI83" s="198"/>
      <c r="AJ83" s="207"/>
      <c r="AK83" s="208"/>
      <c r="AL83" s="208"/>
      <c r="AM83" s="208"/>
      <c r="AN83" s="208"/>
    </row>
    <row r="84" spans="1:41" ht="15.95" customHeight="1">
      <c r="A84" s="11" t="s">
        <v>14</v>
      </c>
      <c r="B84" s="500" t="s">
        <v>175</v>
      </c>
      <c r="C84" s="500"/>
      <c r="D84" s="500"/>
      <c r="E84" s="500"/>
      <c r="F84" s="500"/>
      <c r="G84" s="85">
        <f>+G79/LN</f>
        <v>0</v>
      </c>
      <c r="H84" s="14"/>
      <c r="I84" s="52"/>
      <c r="M84" s="73">
        <f>+IF(G84&gt;AH84,AI84,IF(G84&gt;AF84,AG84,IF(G84&gt;AD84,AE84,IF(G84&gt;AB84,AC84,IF(G84&gt;Z84,AA84,IF(G84&gt;=X84,Y84,0))))))</f>
        <v>0</v>
      </c>
      <c r="O84" s="238" t="str">
        <f>+X84*100&amp;"–"&amp;Z84*100</f>
        <v>7–9</v>
      </c>
      <c r="P84" s="244" t="str">
        <f>+"&gt;"&amp;Z84*100&amp;"–"&amp;AB84*100</f>
        <v>&gt;9–12</v>
      </c>
      <c r="Q84" s="224" t="str">
        <f>+"&gt;"&amp;AB84*100&amp;"–"&amp;AD84*100</f>
        <v>&gt;12–15</v>
      </c>
      <c r="R84" s="224" t="str">
        <f>+"&gt;"&amp;AD84*100&amp;"–"&amp;AF84*100</f>
        <v>&gt;15–18</v>
      </c>
      <c r="S84" s="224" t="str">
        <f>+"&gt;"&amp;AF84*100&amp;"–"&amp;AH84*100</f>
        <v>&gt;18–21</v>
      </c>
      <c r="T84" s="19" t="str">
        <f>+"&gt;"&amp;AH84*100</f>
        <v>&gt;21</v>
      </c>
      <c r="U84" s="25" t="s">
        <v>15</v>
      </c>
      <c r="V84" s="62">
        <v>2</v>
      </c>
      <c r="W84" s="61"/>
      <c r="X84" s="56">
        <v>7.0000000000000007E-2</v>
      </c>
      <c r="Y84" s="15">
        <v>1</v>
      </c>
      <c r="Z84" s="56">
        <v>0.09</v>
      </c>
      <c r="AA84" s="15">
        <v>2</v>
      </c>
      <c r="AB84" s="56">
        <v>0.12</v>
      </c>
      <c r="AC84" s="15">
        <v>3</v>
      </c>
      <c r="AD84" s="56">
        <v>0.15</v>
      </c>
      <c r="AE84" s="15">
        <v>4</v>
      </c>
      <c r="AF84" s="56">
        <v>0.18</v>
      </c>
      <c r="AG84" s="15">
        <v>5</v>
      </c>
      <c r="AH84" s="56">
        <v>0.21</v>
      </c>
      <c r="AI84" s="15">
        <v>6</v>
      </c>
    </row>
    <row r="85" spans="1:41" hidden="1">
      <c r="A85" s="68"/>
      <c r="B85" s="14"/>
      <c r="G85" s="52"/>
      <c r="H85" s="14"/>
      <c r="I85" s="52"/>
      <c r="L85" s="14"/>
      <c r="M85" s="89"/>
      <c r="O85" s="19"/>
      <c r="P85" s="19"/>
      <c r="Q85" s="19"/>
      <c r="R85" s="19"/>
      <c r="S85" s="19"/>
      <c r="T85" s="19"/>
      <c r="U85" s="25"/>
    </row>
    <row r="86" spans="1:41" hidden="1">
      <c r="A86" s="68"/>
      <c r="B86" s="14"/>
      <c r="G86" s="52"/>
      <c r="H86" s="14"/>
      <c r="I86" s="52"/>
      <c r="L86" s="14"/>
      <c r="M86" s="89"/>
      <c r="O86" s="19"/>
      <c r="P86" s="19"/>
      <c r="Q86" s="19"/>
      <c r="R86" s="19"/>
      <c r="S86" s="19"/>
      <c r="T86" s="19"/>
      <c r="U86" s="25"/>
    </row>
    <row r="87" spans="1:41" ht="15.95" customHeight="1" outlineLevel="1">
      <c r="A87" s="4"/>
      <c r="B87" s="32"/>
      <c r="C87" s="243" t="str">
        <f>+IF(AND(G84&lt;G83, M1&lt;22), "Au moins " &amp;G83*100 &amp;"% de SPB ou 22 points de biodiversité doivent être présents sur la SAU pour remplir les conditions du label!","")</f>
        <v>Au moins 9% de SPB ou 22 points de biodiversité doivent être présents sur la SAU pour remplir les conditions du label!</v>
      </c>
      <c r="G87" s="14"/>
      <c r="H87" s="14"/>
      <c r="I87" s="14"/>
      <c r="N87" s="10"/>
      <c r="O87" s="19"/>
      <c r="P87" s="19"/>
      <c r="Q87" s="19"/>
      <c r="R87" s="19"/>
      <c r="S87" s="19"/>
      <c r="T87" s="19"/>
      <c r="U87" s="25"/>
      <c r="AJ87" s="14"/>
      <c r="AK87" s="14"/>
      <c r="AL87" s="14"/>
      <c r="AM87" s="14"/>
      <c r="AN87" s="14"/>
      <c r="AO87" s="14"/>
    </row>
    <row r="88" spans="1:41" hidden="1">
      <c r="A88" s="11">
        <v>5.17</v>
      </c>
      <c r="B88" s="500" t="s">
        <v>181</v>
      </c>
      <c r="C88" s="500"/>
      <c r="D88" s="500"/>
      <c r="E88" s="500"/>
      <c r="F88" s="500"/>
      <c r="G88" s="76">
        <f>+G63+G64+G65+G67+G68 + IF(offene_Ackerfläche&gt;=3,MIN(Ackerfläche*0.0175,G74),0)</f>
        <v>0</v>
      </c>
      <c r="H88" s="14"/>
      <c r="I88" s="76"/>
      <c r="L88" s="14"/>
      <c r="M88" s="90"/>
      <c r="O88" s="19"/>
      <c r="P88" s="19"/>
      <c r="Q88" s="19"/>
      <c r="R88" s="19"/>
      <c r="S88" s="19"/>
      <c r="T88" s="19"/>
      <c r="U88" s="25"/>
      <c r="AJ88" s="14"/>
      <c r="AK88" s="14"/>
      <c r="AL88" s="14"/>
      <c r="AM88" s="14"/>
      <c r="AN88" s="14"/>
      <c r="AO88" s="14"/>
    </row>
    <row r="89" spans="1:41" hidden="1">
      <c r="A89" s="68" t="s">
        <v>43</v>
      </c>
      <c r="B89" s="14" t="s">
        <v>179</v>
      </c>
      <c r="G89" s="52">
        <f>+IF(Ackerfläche&gt;0,G88/Ackerfläche,0)</f>
        <v>0</v>
      </c>
      <c r="H89" s="14"/>
      <c r="I89" s="52"/>
      <c r="L89" s="14"/>
      <c r="M89" s="89"/>
      <c r="O89" s="19"/>
      <c r="P89" s="19"/>
      <c r="Q89" s="19"/>
      <c r="R89" s="19"/>
      <c r="S89" s="19"/>
      <c r="T89" s="19"/>
      <c r="U89" s="25"/>
      <c r="W89" s="7">
        <f>+IF(Ackerfläche&lt;=3,0,IF(G89&gt;=0.03,0,1))</f>
        <v>0</v>
      </c>
      <c r="AJ89" s="14"/>
      <c r="AK89" s="14"/>
      <c r="AL89" s="14"/>
      <c r="AM89" s="14"/>
      <c r="AN89" s="14"/>
      <c r="AO89" s="14"/>
    </row>
    <row r="90" spans="1:41" ht="5.45" customHeight="1">
      <c r="A90" s="507"/>
      <c r="B90" s="507"/>
      <c r="C90" s="507"/>
      <c r="D90" s="507"/>
      <c r="E90" s="507"/>
      <c r="F90" s="507"/>
      <c r="G90" s="507"/>
      <c r="H90" s="507"/>
      <c r="I90" s="507"/>
      <c r="J90" s="507"/>
      <c r="K90" s="507"/>
      <c r="L90" s="507"/>
      <c r="M90" s="507"/>
      <c r="N90" s="507"/>
      <c r="O90" s="19"/>
      <c r="P90" s="19"/>
      <c r="Q90" s="19"/>
      <c r="R90" s="19"/>
      <c r="S90" s="19"/>
      <c r="T90" s="19"/>
      <c r="U90" s="25"/>
      <c r="AJ90" s="14"/>
      <c r="AK90" s="14"/>
      <c r="AL90" s="14"/>
      <c r="AM90" s="14"/>
      <c r="AN90" s="14"/>
      <c r="AO90" s="14"/>
    </row>
    <row r="91" spans="1:41" s="14" customFormat="1" ht="15.95" customHeight="1">
      <c r="A91" s="11" t="s">
        <v>52</v>
      </c>
      <c r="B91" s="500" t="s">
        <v>180</v>
      </c>
      <c r="C91" s="500"/>
      <c r="D91" s="500"/>
      <c r="E91" s="500"/>
      <c r="F91" s="500"/>
      <c r="G91" s="52"/>
      <c r="I91" s="76">
        <f>+G61+G62+G63+G64+I66</f>
        <v>0</v>
      </c>
      <c r="M91" s="89"/>
      <c r="O91" s="19"/>
      <c r="P91" s="19"/>
      <c r="Q91" s="19"/>
      <c r="R91" s="19"/>
      <c r="S91" s="19"/>
      <c r="T91" s="19"/>
      <c r="U91" s="25"/>
      <c r="V91" s="16"/>
      <c r="W91" s="7"/>
      <c r="X91" s="16"/>
      <c r="Y91" s="15"/>
      <c r="Z91" s="16"/>
      <c r="AA91" s="15"/>
      <c r="AB91" s="16"/>
      <c r="AC91" s="15"/>
      <c r="AD91" s="16"/>
      <c r="AE91" s="15"/>
      <c r="AF91" s="16"/>
      <c r="AG91" s="15"/>
      <c r="AH91" s="16"/>
      <c r="AI91" s="15"/>
    </row>
    <row r="92" spans="1:41" s="14" customFormat="1" ht="15.95" customHeight="1">
      <c r="A92" s="11" t="s">
        <v>53</v>
      </c>
      <c r="B92" s="14" t="s">
        <v>179</v>
      </c>
      <c r="C92" s="4"/>
      <c r="D92" s="4"/>
      <c r="E92" s="4"/>
      <c r="F92" s="4"/>
      <c r="G92" s="52"/>
      <c r="I92" s="85">
        <f>+IF(Ackerfläche&gt;0,I91/Ackerfläche,0)</f>
        <v>0</v>
      </c>
      <c r="M92" s="89"/>
      <c r="O92" s="19"/>
      <c r="P92" s="19"/>
      <c r="Q92" s="19"/>
      <c r="R92" s="19"/>
      <c r="S92" s="19"/>
      <c r="T92" s="19"/>
      <c r="U92" s="25"/>
      <c r="V92" s="16"/>
      <c r="W92" s="7"/>
      <c r="X92" s="16"/>
      <c r="Y92" s="15"/>
      <c r="Z92" s="16"/>
      <c r="AA92" s="15"/>
      <c r="AB92" s="16"/>
      <c r="AC92" s="15"/>
      <c r="AD92" s="16"/>
      <c r="AE92" s="15"/>
      <c r="AF92" s="16"/>
      <c r="AG92" s="15"/>
      <c r="AH92" s="16"/>
      <c r="AI92" s="15"/>
      <c r="AJ92" s="126"/>
    </row>
    <row r="93" spans="1:41" ht="6" customHeight="1">
      <c r="B93" s="32"/>
      <c r="C93" s="87"/>
      <c r="G93" s="14"/>
      <c r="H93" s="14"/>
      <c r="I93" s="14"/>
      <c r="N93" s="4"/>
      <c r="O93" s="19"/>
      <c r="P93" s="19"/>
      <c r="Q93" s="19"/>
      <c r="R93" s="19"/>
      <c r="S93" s="19"/>
      <c r="T93" s="19"/>
      <c r="U93" s="25"/>
    </row>
    <row r="94" spans="1:41" s="14" customFormat="1" ht="15.95" customHeight="1">
      <c r="A94" s="68">
        <v>5.18</v>
      </c>
      <c r="B94" s="14" t="s">
        <v>178</v>
      </c>
      <c r="C94" s="4"/>
      <c r="D94" s="4"/>
      <c r="E94" s="4"/>
      <c r="F94" s="4"/>
      <c r="G94" s="76">
        <f>+G58+G59+G60+G68+G69+G70</f>
        <v>0</v>
      </c>
      <c r="I94" s="76">
        <f>+SUM(I58:K60)+SUM(I68:K69)</f>
        <v>0</v>
      </c>
      <c r="M94" s="37"/>
      <c r="O94" s="19"/>
      <c r="P94" s="19"/>
      <c r="Q94" s="19"/>
      <c r="R94" s="19"/>
      <c r="S94" s="19"/>
      <c r="T94" s="19"/>
      <c r="U94" s="25"/>
      <c r="V94" s="16"/>
      <c r="W94" s="7"/>
      <c r="X94" s="16"/>
      <c r="Y94" s="15"/>
      <c r="Z94" s="16"/>
      <c r="AA94" s="15"/>
      <c r="AB94" s="16"/>
      <c r="AC94" s="15"/>
      <c r="AD94" s="16"/>
      <c r="AE94" s="15"/>
      <c r="AF94" s="16"/>
      <c r="AG94" s="15"/>
      <c r="AH94" s="16"/>
      <c r="AI94" s="15"/>
      <c r="AJ94" s="70"/>
    </row>
    <row r="95" spans="1:41" s="14" customFormat="1" ht="15.95" customHeight="1">
      <c r="A95" s="11" t="s">
        <v>50</v>
      </c>
      <c r="B95" s="14" t="s">
        <v>177</v>
      </c>
      <c r="C95" s="4"/>
      <c r="D95" s="4"/>
      <c r="E95" s="4"/>
      <c r="F95" s="4"/>
      <c r="G95" s="85">
        <f>+IF(DGL_Streue&gt;0,G94/DGL_Streue,0)</f>
        <v>0</v>
      </c>
      <c r="I95" s="85">
        <f>+IF(DGL_Streue&gt;0,I94/DGL_Streue,0)</f>
        <v>0</v>
      </c>
      <c r="M95" s="89"/>
      <c r="O95" s="19"/>
      <c r="P95" s="19"/>
      <c r="Q95" s="19"/>
      <c r="R95" s="19"/>
      <c r="S95" s="19"/>
      <c r="T95" s="19"/>
      <c r="U95" s="25"/>
      <c r="V95" s="16"/>
      <c r="W95" s="7">
        <f>+IF(DGL&lt;=3,0,IF(G95&gt;=0.09,,1))</f>
        <v>0</v>
      </c>
      <c r="X95" s="16"/>
      <c r="Y95" s="15"/>
      <c r="Z95" s="16"/>
      <c r="AA95" s="15"/>
      <c r="AB95" s="16"/>
      <c r="AC95" s="15"/>
      <c r="AD95" s="16"/>
      <c r="AE95" s="15"/>
      <c r="AF95" s="16"/>
      <c r="AG95" s="15"/>
      <c r="AH95" s="16"/>
      <c r="AI95" s="15"/>
      <c r="AJ95" s="70"/>
    </row>
    <row r="96" spans="1:41" ht="5.25" customHeight="1">
      <c r="B96" s="32"/>
      <c r="C96" s="87"/>
      <c r="G96" s="14"/>
      <c r="H96" s="14"/>
      <c r="I96" s="14"/>
      <c r="N96" s="4"/>
      <c r="O96" s="19"/>
      <c r="P96" s="19"/>
      <c r="Q96" s="19"/>
      <c r="R96" s="19"/>
      <c r="S96" s="19"/>
      <c r="T96" s="19"/>
      <c r="U96" s="25"/>
    </row>
    <row r="97" spans="1:36" s="14" customFormat="1" ht="15.95" customHeight="1">
      <c r="A97" s="68">
        <v>5.19</v>
      </c>
      <c r="B97" s="14" t="s">
        <v>176</v>
      </c>
      <c r="C97" s="4"/>
      <c r="D97" s="4"/>
      <c r="E97" s="4"/>
      <c r="F97" s="4"/>
      <c r="G97" s="52"/>
      <c r="I97" s="76">
        <f>I79</f>
        <v>0</v>
      </c>
      <c r="K97" s="88"/>
      <c r="M97" s="90"/>
      <c r="O97" s="19"/>
      <c r="P97" s="19"/>
      <c r="Q97" s="19"/>
      <c r="R97" s="19"/>
      <c r="S97" s="19"/>
      <c r="T97" s="19"/>
      <c r="U97" s="25"/>
      <c r="V97" s="16"/>
      <c r="W97" s="7"/>
      <c r="X97" s="16"/>
      <c r="Y97" s="15"/>
      <c r="Z97" s="16"/>
      <c r="AA97" s="15"/>
      <c r="AB97" s="16"/>
      <c r="AC97" s="15"/>
      <c r="AD97" s="16"/>
      <c r="AE97" s="15"/>
      <c r="AF97" s="16"/>
      <c r="AG97" s="15"/>
      <c r="AH97" s="16"/>
      <c r="AI97" s="15"/>
      <c r="AJ97" s="70"/>
    </row>
    <row r="98" spans="1:36" s="14" customFormat="1" ht="15.95" customHeight="1">
      <c r="A98" s="11" t="s">
        <v>51</v>
      </c>
      <c r="B98" s="14" t="s">
        <v>175</v>
      </c>
      <c r="C98" s="47"/>
      <c r="I98" s="85">
        <f>+I97/LN</f>
        <v>0</v>
      </c>
      <c r="M98" s="246">
        <f>+IF(I98&lt;X98,0,IF(I98&gt;AH98,AI98,1+(100*I98-2)))</f>
        <v>0</v>
      </c>
      <c r="N98" s="200"/>
      <c r="O98" s="224"/>
      <c r="P98" s="238">
        <v>2</v>
      </c>
      <c r="Q98" s="244"/>
      <c r="R98" s="224" t="s">
        <v>56</v>
      </c>
      <c r="S98" s="224"/>
      <c r="T98" s="224" t="str">
        <f>+"&gt;"&amp;AH98*100</f>
        <v>&gt;7</v>
      </c>
      <c r="U98" s="228" t="s">
        <v>15</v>
      </c>
      <c r="V98" s="234"/>
      <c r="W98" s="235"/>
      <c r="X98" s="245">
        <v>0.02</v>
      </c>
      <c r="Y98" s="214">
        <v>1</v>
      </c>
      <c r="Z98" s="245"/>
      <c r="AA98" s="214" t="s">
        <v>57</v>
      </c>
      <c r="AB98" s="245"/>
      <c r="AC98" s="214"/>
      <c r="AD98" s="245"/>
      <c r="AE98" s="214"/>
      <c r="AF98" s="245"/>
      <c r="AG98" s="214"/>
      <c r="AH98" s="245">
        <v>7.0000000000000007E-2</v>
      </c>
      <c r="AI98" s="214">
        <v>6</v>
      </c>
      <c r="AJ98" s="70"/>
    </row>
    <row r="99" spans="1:36" ht="6" customHeight="1">
      <c r="C99" s="88"/>
      <c r="D99" s="13"/>
      <c r="E99" s="13"/>
      <c r="F99" s="13"/>
      <c r="G99" s="13"/>
      <c r="H99" s="13"/>
      <c r="N99" s="4"/>
      <c r="O99" s="19"/>
      <c r="P99" s="19"/>
      <c r="Q99" s="19"/>
      <c r="R99" s="19"/>
      <c r="S99" s="19"/>
      <c r="T99" s="19"/>
      <c r="U99" s="18"/>
    </row>
    <row r="100" spans="1:36" s="14" customFormat="1" ht="15.95" customHeight="1">
      <c r="A100" s="11">
        <v>6.1</v>
      </c>
      <c r="B100" s="76">
        <f>+G79-B101-B102</f>
        <v>0</v>
      </c>
      <c r="C100" s="14" t="s">
        <v>174</v>
      </c>
      <c r="I100" s="52"/>
      <c r="M100" s="73"/>
      <c r="O100" s="19"/>
      <c r="P100" s="33"/>
      <c r="Q100" s="72"/>
      <c r="R100" s="19"/>
      <c r="S100" s="19"/>
      <c r="T100" s="19"/>
      <c r="U100" s="25"/>
      <c r="V100" s="62"/>
      <c r="W100" s="61"/>
      <c r="X100" s="56"/>
      <c r="Y100" s="15"/>
      <c r="Z100" s="56"/>
      <c r="AA100" s="15"/>
      <c r="AB100" s="56"/>
      <c r="AC100" s="15"/>
      <c r="AD100" s="56"/>
      <c r="AE100" s="15"/>
      <c r="AF100" s="56"/>
      <c r="AG100" s="15"/>
      <c r="AH100" s="16"/>
      <c r="AI100" s="15"/>
      <c r="AJ100" s="70"/>
    </row>
    <row r="101" spans="1:36" s="14" customFormat="1" ht="15.95" customHeight="1">
      <c r="A101" s="68" t="s">
        <v>23</v>
      </c>
      <c r="B101" s="64">
        <v>0</v>
      </c>
      <c r="C101" s="500" t="s">
        <v>173</v>
      </c>
      <c r="D101" s="500"/>
      <c r="E101" s="500"/>
      <c r="F101" s="500"/>
      <c r="I101" s="52"/>
      <c r="M101" s="73"/>
      <c r="O101" s="19"/>
      <c r="P101" s="33"/>
      <c r="Q101" s="72"/>
      <c r="R101" s="19"/>
      <c r="S101" s="19"/>
      <c r="T101" s="19"/>
      <c r="U101" s="25"/>
      <c r="V101" s="62"/>
      <c r="W101" s="61"/>
      <c r="X101" s="56"/>
      <c r="Y101" s="15"/>
      <c r="Z101" s="56"/>
      <c r="AA101" s="15"/>
      <c r="AB101" s="56"/>
      <c r="AC101" s="15"/>
      <c r="AD101" s="56"/>
      <c r="AE101" s="15"/>
      <c r="AF101" s="56"/>
      <c r="AG101" s="15"/>
      <c r="AH101" s="16"/>
      <c r="AI101" s="15"/>
      <c r="AJ101" s="70"/>
    </row>
    <row r="102" spans="1:36" s="14" customFormat="1" ht="15.95" customHeight="1">
      <c r="A102" s="68" t="s">
        <v>24</v>
      </c>
      <c r="B102" s="64">
        <v>0</v>
      </c>
      <c r="C102" s="500" t="s">
        <v>172</v>
      </c>
      <c r="D102" s="500"/>
      <c r="E102" s="500"/>
      <c r="F102" s="500"/>
      <c r="I102" s="52"/>
      <c r="M102" s="73"/>
      <c r="O102" s="19"/>
      <c r="P102" s="33"/>
      <c r="Q102" s="72"/>
      <c r="R102" s="19"/>
      <c r="S102" s="19"/>
      <c r="T102" s="19"/>
      <c r="U102" s="25"/>
      <c r="V102" s="62"/>
      <c r="W102" s="61"/>
      <c r="X102" s="56"/>
      <c r="Y102" s="15"/>
      <c r="Z102" s="56"/>
      <c r="AA102" s="15"/>
      <c r="AB102" s="56"/>
      <c r="AC102" s="15"/>
      <c r="AD102" s="56"/>
      <c r="AE102" s="15"/>
      <c r="AF102" s="56"/>
      <c r="AG102" s="15"/>
      <c r="AH102" s="16"/>
      <c r="AI102" s="15"/>
      <c r="AJ102" s="70"/>
    </row>
    <row r="103" spans="1:36" ht="6" customHeight="1">
      <c r="D103" s="13"/>
      <c r="E103" s="13"/>
      <c r="F103" s="13"/>
      <c r="G103" s="13"/>
      <c r="H103" s="13"/>
      <c r="N103" s="4"/>
      <c r="O103" s="19"/>
      <c r="P103" s="19"/>
      <c r="Q103" s="19"/>
      <c r="R103" s="19"/>
      <c r="S103" s="19"/>
      <c r="T103" s="19"/>
      <c r="U103" s="18"/>
    </row>
    <row r="104" spans="1:36" s="13" customFormat="1" ht="15.95" customHeight="1">
      <c r="A104" s="11">
        <v>7</v>
      </c>
      <c r="B104" s="32" t="s">
        <v>171</v>
      </c>
      <c r="M104" s="80"/>
      <c r="O104" s="19"/>
      <c r="P104" s="19"/>
      <c r="Q104" s="19"/>
      <c r="R104" s="19"/>
      <c r="S104" s="19"/>
      <c r="T104" s="19"/>
      <c r="U104" s="25"/>
      <c r="V104" s="77"/>
      <c r="W104" s="77"/>
      <c r="X104" s="79"/>
      <c r="Y104" s="78"/>
      <c r="Z104" s="79"/>
      <c r="AA104" s="78"/>
      <c r="AB104" s="79"/>
      <c r="AC104" s="78"/>
      <c r="AD104" s="79"/>
      <c r="AE104" s="78"/>
      <c r="AF104" s="79"/>
      <c r="AG104" s="78"/>
      <c r="AH104" s="79"/>
      <c r="AI104" s="78"/>
      <c r="AJ104" s="70"/>
    </row>
    <row r="105" spans="1:36" ht="15.95" customHeight="1">
      <c r="A105" s="11">
        <v>7.1</v>
      </c>
      <c r="B105" s="35">
        <v>0</v>
      </c>
      <c r="C105" s="500" t="s">
        <v>170</v>
      </c>
      <c r="D105" s="500"/>
      <c r="E105" s="500"/>
      <c r="F105" s="500"/>
      <c r="G105" s="500"/>
      <c r="H105" s="500"/>
      <c r="I105" s="500"/>
      <c r="J105" s="500"/>
      <c r="N105" s="4"/>
      <c r="O105" s="19"/>
      <c r="P105" s="19"/>
      <c r="Q105" s="19"/>
      <c r="R105" s="19"/>
      <c r="S105" s="19"/>
      <c r="T105" s="19"/>
      <c r="U105" s="25"/>
    </row>
    <row r="106" spans="1:36" ht="15.95" customHeight="1">
      <c r="B106" s="47" t="s">
        <v>1</v>
      </c>
      <c r="C106" s="26">
        <f>+IF(Ackerfläche&gt;0,B105/Ackerfläche*20,0)</f>
        <v>0</v>
      </c>
      <c r="D106" s="14" t="s">
        <v>169</v>
      </c>
      <c r="F106" s="14"/>
      <c r="G106" s="14"/>
      <c r="H106" s="14"/>
      <c r="N106" s="4"/>
      <c r="O106" s="19"/>
      <c r="P106" s="19"/>
      <c r="Q106" s="19"/>
      <c r="R106" s="19"/>
      <c r="S106" s="19"/>
      <c r="T106" s="19"/>
      <c r="U106" s="25"/>
    </row>
    <row r="107" spans="1:36" ht="15.95" customHeight="1">
      <c r="B107" s="47" t="s">
        <v>1</v>
      </c>
      <c r="D107" s="14" t="s">
        <v>168</v>
      </c>
      <c r="F107" s="14"/>
      <c r="G107" s="14"/>
      <c r="H107" s="14"/>
      <c r="M107" s="403">
        <f>+IF(C106&gt;AF107,AG107,IF(C106&gt;AD107,AE107,IF(C106&gt;AB107,AC107,IF(C106&gt;Z107,AA107,IF(C106&gt;=X107,Y107,0)))))</f>
        <v>0</v>
      </c>
      <c r="N107" s="4"/>
      <c r="O107" s="19"/>
      <c r="P107" s="238" t="str">
        <f>+X107&amp;"–"&amp;Z107</f>
        <v>1–2</v>
      </c>
      <c r="Q107" s="244" t="str">
        <f>+"&gt;"&amp;Z107&amp;"–"&amp;AB107</f>
        <v>&gt;2–3</v>
      </c>
      <c r="R107" s="224" t="str">
        <f>+"&gt;"&amp;AB107&amp;"–"&amp;AD107</f>
        <v>&gt;3–4</v>
      </c>
      <c r="S107" s="224" t="str">
        <f>+"&gt;"&amp;AD107&amp;"–"&amp;AF107</f>
        <v>&gt;4–5</v>
      </c>
      <c r="T107" s="19" t="str">
        <f>+"&gt;"&amp;AF107</f>
        <v>&gt;5</v>
      </c>
      <c r="U107" s="25" t="s">
        <v>165</v>
      </c>
      <c r="V107" s="77"/>
      <c r="X107" s="6">
        <v>1</v>
      </c>
      <c r="Y107" s="5">
        <v>2</v>
      </c>
      <c r="Z107" s="6">
        <v>2</v>
      </c>
      <c r="AA107" s="5">
        <v>3</v>
      </c>
      <c r="AB107" s="6">
        <v>3</v>
      </c>
      <c r="AC107" s="5">
        <v>4</v>
      </c>
      <c r="AD107" s="6">
        <v>4</v>
      </c>
      <c r="AE107" s="5">
        <v>5</v>
      </c>
      <c r="AF107" s="6">
        <v>5</v>
      </c>
      <c r="AG107" s="15">
        <v>6</v>
      </c>
      <c r="AH107" s="16"/>
      <c r="AI107" s="15"/>
    </row>
    <row r="108" spans="1:36" ht="15.95" customHeight="1">
      <c r="B108" s="47" t="s">
        <v>1</v>
      </c>
      <c r="D108" s="4" t="s">
        <v>155</v>
      </c>
      <c r="M108" s="140">
        <f>+M107*Ackerfläche/LN</f>
        <v>0</v>
      </c>
      <c r="N108" s="4"/>
      <c r="O108" s="19"/>
      <c r="P108" s="19"/>
      <c r="Q108" s="19"/>
      <c r="R108" s="19"/>
      <c r="S108" s="19"/>
      <c r="T108" s="19"/>
      <c r="U108" s="25"/>
      <c r="V108" s="77"/>
      <c r="AG108" s="15"/>
      <c r="AH108" s="16"/>
      <c r="AI108" s="15"/>
    </row>
    <row r="109" spans="1:36" ht="15.95" customHeight="1">
      <c r="A109" s="11">
        <v>7.2</v>
      </c>
      <c r="B109" s="35">
        <v>0</v>
      </c>
      <c r="C109" s="500" t="s">
        <v>167</v>
      </c>
      <c r="D109" s="500"/>
      <c r="E109" s="500"/>
      <c r="F109" s="500"/>
      <c r="G109" s="500"/>
      <c r="H109" s="500"/>
      <c r="I109" s="500"/>
      <c r="J109" s="500"/>
      <c r="K109" s="500"/>
      <c r="L109" s="500"/>
      <c r="M109" s="141"/>
      <c r="N109" s="4"/>
      <c r="O109" s="19"/>
      <c r="P109" s="19"/>
      <c r="Q109" s="19"/>
      <c r="R109" s="19"/>
      <c r="S109" s="19"/>
      <c r="T109" s="19"/>
      <c r="U109" s="25"/>
      <c r="V109" s="77"/>
    </row>
    <row r="110" spans="1:36" ht="15.95" customHeight="1">
      <c r="B110" s="47" t="s">
        <v>1</v>
      </c>
      <c r="C110" s="26">
        <f>+IF(DGL_Streue&gt;0,B109/DGL_Streue*20,0)</f>
        <v>0</v>
      </c>
      <c r="D110" s="14" t="s">
        <v>166</v>
      </c>
      <c r="F110" s="14"/>
      <c r="G110" s="14"/>
      <c r="H110" s="14"/>
      <c r="M110" s="141"/>
      <c r="N110" s="4"/>
      <c r="O110" s="19"/>
      <c r="P110" s="19"/>
      <c r="Q110" s="19"/>
      <c r="R110" s="19"/>
      <c r="S110" s="19"/>
      <c r="T110" s="19"/>
      <c r="U110" s="25"/>
      <c r="V110" s="77"/>
    </row>
    <row r="111" spans="1:36" ht="15.95" customHeight="1">
      <c r="B111" s="47" t="s">
        <v>1</v>
      </c>
      <c r="D111" s="14" t="str">
        <f>+"points partiels sur les prairies perm. y c. à litière (=" &amp; +ROUND(DGL/LN*100,0) &amp;"% de la SAU)"</f>
        <v>points partiels sur les prairies perm. y c. à litière (=0% de la SAU)</v>
      </c>
      <c r="F111" s="14"/>
      <c r="G111" s="14"/>
      <c r="H111" s="14"/>
      <c r="M111" s="403">
        <f>+IF(C110&gt;AF111,AG111,IF(C110&gt;AD111,AE111,IF(C110&gt;AB111,AC111,IF(C110&gt;Z111,AA111,IF(C110&gt;=X111,Y111,0)))))</f>
        <v>0</v>
      </c>
      <c r="N111" s="4"/>
      <c r="O111" s="19"/>
      <c r="P111" s="238" t="str">
        <f>+X111&amp;"–"&amp;Z111</f>
        <v>2–3</v>
      </c>
      <c r="Q111" s="244" t="str">
        <f>+"&gt;"&amp;Z111&amp;"–"&amp;AB111</f>
        <v>&gt;3–4</v>
      </c>
      <c r="R111" s="224" t="str">
        <f>+"&gt;"&amp;AB111&amp;"–"&amp;AD111</f>
        <v>&gt;4–5</v>
      </c>
      <c r="S111" s="224" t="str">
        <f>+"&gt;"&amp;AD111&amp;"–"&amp;AF111</f>
        <v>&gt;5–6</v>
      </c>
      <c r="T111" s="19" t="str">
        <f>+"&gt;"&amp;AF111</f>
        <v>&gt;6</v>
      </c>
      <c r="U111" s="25" t="s">
        <v>165</v>
      </c>
      <c r="V111" s="77"/>
      <c r="X111" s="6">
        <v>2</v>
      </c>
      <c r="Y111" s="5">
        <v>2</v>
      </c>
      <c r="Z111" s="6">
        <v>3</v>
      </c>
      <c r="AA111" s="5">
        <v>3</v>
      </c>
      <c r="AB111" s="6">
        <v>4</v>
      </c>
      <c r="AC111" s="5">
        <v>4</v>
      </c>
      <c r="AD111" s="6">
        <v>5</v>
      </c>
      <c r="AE111" s="5">
        <v>5</v>
      </c>
      <c r="AF111" s="6">
        <v>6</v>
      </c>
      <c r="AG111" s="15">
        <v>6</v>
      </c>
      <c r="AH111" s="16"/>
      <c r="AI111" s="15"/>
    </row>
    <row r="112" spans="1:36" ht="15.95" customHeight="1">
      <c r="B112" s="47" t="s">
        <v>1</v>
      </c>
      <c r="D112" s="4" t="s">
        <v>155</v>
      </c>
      <c r="M112" s="140">
        <f>+M111*DGL_Streue/LN</f>
        <v>0</v>
      </c>
      <c r="N112" s="4"/>
      <c r="O112" s="19"/>
      <c r="P112" s="19"/>
      <c r="Q112" s="72"/>
      <c r="R112" s="19"/>
      <c r="S112" s="19"/>
      <c r="T112" s="19"/>
      <c r="U112" s="25"/>
      <c r="V112" s="77">
        <v>3</v>
      </c>
    </row>
    <row r="113" spans="1:36" ht="6.6" customHeight="1">
      <c r="D113" s="13"/>
      <c r="E113" s="13"/>
      <c r="F113" s="13"/>
      <c r="G113" s="13"/>
      <c r="H113" s="13"/>
      <c r="N113" s="4"/>
      <c r="O113" s="19"/>
      <c r="P113" s="19"/>
      <c r="Q113" s="19"/>
      <c r="R113" s="19"/>
      <c r="S113" s="19"/>
      <c r="T113" s="19"/>
      <c r="U113" s="18"/>
    </row>
    <row r="114" spans="1:36" ht="15.95" customHeight="1">
      <c r="A114" s="11">
        <v>8</v>
      </c>
      <c r="B114" s="32" t="s">
        <v>164</v>
      </c>
      <c r="N114" s="4"/>
      <c r="O114" s="19"/>
      <c r="P114" s="19"/>
      <c r="Q114" s="19"/>
      <c r="R114" s="19"/>
      <c r="S114" s="19"/>
      <c r="T114" s="19"/>
      <c r="U114" s="25"/>
    </row>
    <row r="115" spans="1:36" ht="15.95" customHeight="1">
      <c r="A115" s="68" t="s">
        <v>28</v>
      </c>
      <c r="B115" s="76">
        <f>+K76</f>
        <v>0</v>
      </c>
      <c r="C115" s="14" t="s">
        <v>163</v>
      </c>
      <c r="N115" s="4"/>
      <c r="O115" s="19"/>
      <c r="P115" s="19"/>
      <c r="Q115" s="19"/>
      <c r="R115" s="19"/>
      <c r="S115" s="19"/>
      <c r="T115" s="19"/>
      <c r="U115" s="25"/>
    </row>
    <row r="116" spans="1:36" s="14" customFormat="1" ht="15.95" customHeight="1">
      <c r="A116" s="11"/>
      <c r="B116" s="47" t="s">
        <v>1</v>
      </c>
      <c r="C116" s="85">
        <f>+B115/LN</f>
        <v>0</v>
      </c>
      <c r="D116" s="14" t="s">
        <v>162</v>
      </c>
      <c r="M116" s="404">
        <f>+IF(C116&gt;AB116,AC116,IF(C116&gt;Z116,AA116,IF(C116&gt;=X116,Y116,0)))</f>
        <v>0</v>
      </c>
      <c r="O116" s="238" t="str">
        <f>+X116*100&amp;"–"&amp;Z116*100</f>
        <v>4–5</v>
      </c>
      <c r="P116" s="244" t="str">
        <f>+"&gt;"&amp;Z116*100&amp;"–"&amp;AB116*100</f>
        <v>&gt;5–7</v>
      </c>
      <c r="Q116" s="224" t="str">
        <f>+"&gt;"&amp;AB116*100</f>
        <v>&gt;7</v>
      </c>
      <c r="R116" s="19"/>
      <c r="S116" s="25"/>
      <c r="T116" s="19"/>
      <c r="U116" s="25" t="s">
        <v>25</v>
      </c>
      <c r="V116" s="62">
        <v>2</v>
      </c>
      <c r="W116" s="61"/>
      <c r="X116" s="56">
        <v>0.04</v>
      </c>
      <c r="Y116" s="15">
        <v>1</v>
      </c>
      <c r="Z116" s="56">
        <v>0.05</v>
      </c>
      <c r="AA116" s="15">
        <v>2</v>
      </c>
      <c r="AB116" s="56">
        <v>7.0000000000000007E-2</v>
      </c>
      <c r="AC116" s="15">
        <v>3</v>
      </c>
      <c r="AD116" s="56"/>
      <c r="AE116" s="15"/>
      <c r="AF116" s="16"/>
      <c r="AG116" s="15"/>
      <c r="AH116" s="16"/>
      <c r="AI116" s="15"/>
      <c r="AJ116" s="70"/>
    </row>
    <row r="117" spans="1:36" ht="6.6" customHeight="1">
      <c r="D117" s="13"/>
      <c r="E117" s="13"/>
      <c r="F117" s="13"/>
      <c r="G117" s="13"/>
      <c r="H117" s="13"/>
      <c r="N117" s="4"/>
      <c r="O117" s="19"/>
      <c r="P117" s="19"/>
      <c r="Q117" s="19"/>
      <c r="R117" s="19"/>
      <c r="S117" s="19"/>
      <c r="T117" s="19"/>
      <c r="U117" s="18"/>
    </row>
    <row r="118" spans="1:36" ht="15.95" customHeight="1">
      <c r="A118" s="11">
        <v>9</v>
      </c>
      <c r="B118" s="32" t="s">
        <v>161</v>
      </c>
      <c r="E118" s="13"/>
      <c r="F118" s="13"/>
      <c r="G118" s="13"/>
      <c r="H118" s="13"/>
      <c r="N118" s="4"/>
      <c r="O118" s="19"/>
      <c r="P118" s="19"/>
      <c r="Q118" s="19"/>
      <c r="R118" s="19"/>
      <c r="S118" s="19"/>
      <c r="T118" s="19"/>
      <c r="U118" s="25"/>
    </row>
    <row r="119" spans="1:36" ht="15.95" customHeight="1">
      <c r="A119" s="11">
        <v>9.1</v>
      </c>
      <c r="B119" s="35">
        <v>0</v>
      </c>
      <c r="C119" s="14" t="s">
        <v>160</v>
      </c>
      <c r="E119" s="13"/>
      <c r="F119" s="13"/>
      <c r="G119" s="13"/>
      <c r="H119" s="13"/>
      <c r="K119" s="14"/>
      <c r="N119" s="4"/>
      <c r="O119" s="19"/>
      <c r="P119" s="19"/>
      <c r="Q119" s="19"/>
      <c r="R119" s="19"/>
      <c r="S119" s="19"/>
      <c r="T119" s="19"/>
      <c r="U119" s="25"/>
    </row>
    <row r="120" spans="1:36" ht="15.95" customHeight="1">
      <c r="B120" s="47" t="s">
        <v>1</v>
      </c>
      <c r="C120" s="26">
        <f>+IF(Ackerfläche&gt;0,B119/Ackerfläche*20,0)</f>
        <v>0</v>
      </c>
      <c r="D120" s="14" t="s">
        <v>159</v>
      </c>
      <c r="N120" s="4"/>
      <c r="O120" s="19"/>
      <c r="P120" s="19"/>
      <c r="Q120" s="19"/>
      <c r="R120" s="19"/>
      <c r="S120" s="19"/>
      <c r="T120" s="19"/>
      <c r="U120" s="25"/>
    </row>
    <row r="121" spans="1:36" s="14" customFormat="1" ht="15.95" customHeight="1">
      <c r="A121" s="11"/>
      <c r="B121" s="47" t="s">
        <v>1</v>
      </c>
      <c r="D121" s="14" t="str">
        <f>+"points partiels sur les terres assolées (=" &amp; +ROUND(Ackerfläche/LN*100,0) &amp;"% de la SAU)"</f>
        <v>points partiels sur les terres assolées (=0% de la SAU)</v>
      </c>
      <c r="M121" s="405">
        <f>+IF(C120&gt;AD121,AE121,IF(C120&gt;AB121,AC121,IF(C120&gt;Z121,AA121,IF(C120&gt;=X121,Y121,0))))</f>
        <v>0</v>
      </c>
      <c r="O121" s="224" t="str">
        <f>+X121&amp;"–"&amp;Z121</f>
        <v>1.5–3</v>
      </c>
      <c r="P121" s="244" t="str">
        <f>+"&gt;"&amp;Z121&amp;"–"&amp;AB121</f>
        <v>&gt;3–4.5</v>
      </c>
      <c r="Q121" s="224" t="str">
        <f>+"&gt;"&amp;AB121&amp;"–"&amp;AD121</f>
        <v>&gt;4.5–6</v>
      </c>
      <c r="R121" s="19" t="str">
        <f>+"&gt;"&amp;AD121</f>
        <v>&gt;6</v>
      </c>
      <c r="S121" s="19"/>
      <c r="T121" s="19"/>
      <c r="U121" s="25" t="s">
        <v>156</v>
      </c>
      <c r="V121" s="62">
        <v>3</v>
      </c>
      <c r="W121" s="61"/>
      <c r="X121" s="6">
        <v>1.5</v>
      </c>
      <c r="Y121" s="5">
        <v>1</v>
      </c>
      <c r="Z121" s="6">
        <v>3</v>
      </c>
      <c r="AA121" s="5">
        <v>2</v>
      </c>
      <c r="AB121" s="6">
        <v>4.5</v>
      </c>
      <c r="AC121" s="5">
        <v>3</v>
      </c>
      <c r="AD121" s="6">
        <v>6</v>
      </c>
      <c r="AE121" s="5">
        <v>4</v>
      </c>
      <c r="AF121" s="16"/>
      <c r="AG121" s="15"/>
      <c r="AH121" s="16"/>
      <c r="AI121" s="15"/>
      <c r="AJ121" s="70"/>
    </row>
    <row r="122" spans="1:36" ht="15.95" customHeight="1">
      <c r="B122" s="47" t="s">
        <v>1</v>
      </c>
      <c r="D122" s="4" t="s">
        <v>155</v>
      </c>
      <c r="M122" s="34">
        <f>+M121*Ackerfläche/LN</f>
        <v>0</v>
      </c>
      <c r="O122" s="19"/>
      <c r="P122" s="19"/>
      <c r="Q122" s="19"/>
      <c r="R122" s="19"/>
      <c r="S122" s="19"/>
      <c r="T122" s="19"/>
      <c r="U122" s="25"/>
    </row>
    <row r="123" spans="1:36" ht="15.95" customHeight="1">
      <c r="A123" s="11">
        <v>9.1999999999999993</v>
      </c>
      <c r="B123" s="35">
        <v>0</v>
      </c>
      <c r="C123" s="14" t="s">
        <v>158</v>
      </c>
      <c r="E123" s="13"/>
      <c r="F123" s="13"/>
      <c r="G123" s="13"/>
      <c r="H123" s="13"/>
      <c r="N123" s="4"/>
      <c r="O123" s="19"/>
      <c r="P123" s="19"/>
      <c r="Q123" s="19"/>
      <c r="R123" s="19"/>
      <c r="S123" s="19"/>
      <c r="T123" s="19"/>
      <c r="U123" s="25"/>
    </row>
    <row r="124" spans="1:36" s="14" customFormat="1" ht="15.95" customHeight="1">
      <c r="A124" s="11"/>
      <c r="B124" s="47" t="s">
        <v>1</v>
      </c>
      <c r="C124" s="26">
        <f>+IF(DGL_Streue,B123/DGL_Streue*20,0)</f>
        <v>0</v>
      </c>
      <c r="D124" s="14" t="s">
        <v>157</v>
      </c>
      <c r="F124" s="4"/>
      <c r="G124" s="4"/>
      <c r="H124" s="4"/>
      <c r="M124" s="8"/>
      <c r="O124" s="19"/>
      <c r="P124" s="19"/>
      <c r="Q124" s="19"/>
      <c r="R124" s="19"/>
      <c r="S124" s="19"/>
      <c r="T124" s="19"/>
      <c r="U124" s="25"/>
      <c r="V124" s="17"/>
      <c r="W124" s="17"/>
      <c r="X124" s="16"/>
      <c r="Y124" s="15"/>
      <c r="Z124" s="16"/>
      <c r="AA124" s="15"/>
      <c r="AB124" s="16"/>
      <c r="AC124" s="15"/>
      <c r="AD124" s="16"/>
      <c r="AE124" s="15"/>
      <c r="AF124" s="16"/>
      <c r="AG124" s="15"/>
      <c r="AH124" s="16"/>
      <c r="AI124" s="15"/>
      <c r="AJ124" s="70"/>
    </row>
    <row r="125" spans="1:36" ht="15.95" customHeight="1">
      <c r="B125" s="47" t="s">
        <v>1</v>
      </c>
      <c r="D125" s="14" t="str">
        <f>+"points partiels sur les prairies perm. et les lit. (=" &amp; +ROUND(DGL/LN*100,0) &amp;"% de la SAU)"</f>
        <v>points partiels sur les prairies perm. et les lit. (=0% de la SAU)</v>
      </c>
      <c r="F125" s="14"/>
      <c r="G125" s="14"/>
      <c r="H125" s="14"/>
      <c r="M125" s="405">
        <f>+IF(C124&gt;AD125,AE125,IF(C124&gt;AB125,AC125,IF(C124&gt;Z125,AA125,IF(C124&gt;=X125,Y125,0))))</f>
        <v>0</v>
      </c>
      <c r="O125" s="224" t="str">
        <f>+X125&amp;"–"&amp;Z125</f>
        <v>3–5</v>
      </c>
      <c r="P125" s="244" t="str">
        <f>+"&gt;"&amp;Z125&amp;"–"&amp;AB125</f>
        <v>&gt;5–7</v>
      </c>
      <c r="Q125" s="224" t="str">
        <f>+"&gt;"&amp;AB125&amp;"–"&amp;AD125</f>
        <v>&gt;7–9</v>
      </c>
      <c r="R125" s="19" t="str">
        <f>+"&gt;"&amp;AD125</f>
        <v>&gt;9</v>
      </c>
      <c r="S125" s="19"/>
      <c r="T125" s="19"/>
      <c r="U125" s="25" t="s">
        <v>156</v>
      </c>
      <c r="V125" s="62"/>
      <c r="W125" s="61"/>
      <c r="X125" s="6">
        <v>3</v>
      </c>
      <c r="Y125" s="5">
        <v>1</v>
      </c>
      <c r="Z125" s="6">
        <v>5</v>
      </c>
      <c r="AA125" s="5">
        <v>2</v>
      </c>
      <c r="AB125" s="6">
        <v>7</v>
      </c>
      <c r="AC125" s="5">
        <v>3</v>
      </c>
      <c r="AD125" s="6">
        <v>9</v>
      </c>
      <c r="AE125" s="5">
        <v>4</v>
      </c>
      <c r="AF125" s="16"/>
    </row>
    <row r="126" spans="1:36" ht="15.95" customHeight="1">
      <c r="B126" s="47" t="s">
        <v>1</v>
      </c>
      <c r="D126" s="4" t="s">
        <v>155</v>
      </c>
      <c r="M126" s="34">
        <f>+M125*DGL_Streue/LN</f>
        <v>0</v>
      </c>
      <c r="O126" s="19"/>
      <c r="P126" s="33"/>
      <c r="Q126" s="72"/>
      <c r="R126" s="19"/>
      <c r="S126" s="19"/>
      <c r="T126" s="19"/>
      <c r="U126" s="25"/>
      <c r="V126" s="77"/>
      <c r="X126" s="56"/>
      <c r="Z126" s="56"/>
      <c r="AB126" s="56"/>
    </row>
    <row r="127" spans="1:36" ht="6.6" customHeight="1">
      <c r="D127" s="13"/>
      <c r="E127" s="13"/>
      <c r="F127" s="13"/>
      <c r="G127" s="13"/>
      <c r="H127" s="13"/>
      <c r="N127" s="4"/>
      <c r="O127" s="19"/>
      <c r="P127" s="19"/>
      <c r="Q127" s="19"/>
      <c r="R127" s="19"/>
      <c r="S127" s="19"/>
      <c r="T127" s="19"/>
      <c r="U127" s="18"/>
    </row>
    <row r="128" spans="1:36" s="20" customFormat="1" ht="15.95" customHeight="1">
      <c r="A128" s="24" t="s">
        <v>154</v>
      </c>
      <c r="C128" s="24"/>
      <c r="K128" s="67"/>
      <c r="L128" s="67"/>
      <c r="N128" s="23">
        <f>M126+M122+M116+M112+M108+M98+M84+M50+M41</f>
        <v>0</v>
      </c>
      <c r="O128" s="22"/>
      <c r="P128" s="22"/>
      <c r="Q128" s="22"/>
      <c r="R128" s="22"/>
      <c r="S128" s="22"/>
      <c r="T128" s="22"/>
      <c r="U128" s="137"/>
      <c r="V128" s="6"/>
      <c r="W128" s="6"/>
      <c r="X128" s="6"/>
      <c r="Y128" s="5"/>
      <c r="Z128" s="6"/>
      <c r="AA128" s="5"/>
      <c r="AB128" s="6"/>
      <c r="AC128" s="5"/>
      <c r="AD128" s="6"/>
      <c r="AE128" s="5"/>
      <c r="AF128" s="6"/>
      <c r="AG128" s="5"/>
      <c r="AH128" s="6"/>
      <c r="AI128" s="5"/>
      <c r="AJ128" s="136"/>
    </row>
    <row r="129" spans="1:36" s="20" customFormat="1" ht="15.95" customHeight="1">
      <c r="A129" s="24" t="s">
        <v>153</v>
      </c>
      <c r="D129" s="71"/>
      <c r="E129" s="71"/>
      <c r="F129" s="71"/>
      <c r="G129" s="71"/>
      <c r="H129" s="71"/>
      <c r="M129" s="66"/>
      <c r="O129" s="66"/>
      <c r="P129" s="66"/>
      <c r="Q129" s="66"/>
      <c r="R129" s="66"/>
      <c r="S129" s="66"/>
      <c r="T129" s="66"/>
      <c r="U129" s="21"/>
      <c r="V129" s="6"/>
      <c r="W129" s="6"/>
      <c r="X129" s="6"/>
      <c r="Y129" s="5"/>
      <c r="Z129" s="6"/>
      <c r="AA129" s="5"/>
      <c r="AB129" s="6"/>
      <c r="AC129" s="5"/>
      <c r="AD129" s="6"/>
      <c r="AE129" s="5"/>
      <c r="AF129" s="6"/>
      <c r="AG129" s="5"/>
      <c r="AH129" s="6"/>
      <c r="AI129" s="5"/>
      <c r="AJ129" s="136"/>
    </row>
    <row r="130" spans="1:36" ht="6.6" customHeight="1">
      <c r="D130" s="13"/>
      <c r="E130" s="13"/>
      <c r="F130" s="13"/>
      <c r="G130" s="13"/>
      <c r="H130" s="13"/>
      <c r="N130" s="4"/>
      <c r="O130" s="19"/>
      <c r="P130" s="19"/>
      <c r="Q130" s="19"/>
      <c r="R130" s="19"/>
      <c r="S130" s="19"/>
      <c r="T130" s="19"/>
      <c r="U130" s="18"/>
      <c r="V130" s="6"/>
      <c r="W130" s="6"/>
    </row>
    <row r="131" spans="1:36" s="20" customFormat="1" ht="15.95" customHeight="1">
      <c r="A131" s="24" t="s">
        <v>152</v>
      </c>
      <c r="C131" s="24"/>
      <c r="K131" s="67"/>
      <c r="L131" s="67"/>
      <c r="M131" s="54" t="s">
        <v>121</v>
      </c>
      <c r="N131" s="54" t="s">
        <v>27</v>
      </c>
      <c r="O131" s="22" t="s">
        <v>120</v>
      </c>
      <c r="P131" s="22" t="s">
        <v>119</v>
      </c>
      <c r="Q131" s="22" t="s">
        <v>118</v>
      </c>
      <c r="R131" s="22" t="s">
        <v>117</v>
      </c>
      <c r="S131" s="22"/>
      <c r="T131" s="22"/>
      <c r="U131" s="22" t="s">
        <v>116</v>
      </c>
      <c r="V131" s="6"/>
      <c r="W131" s="6"/>
      <c r="X131" s="6"/>
      <c r="Y131" s="5"/>
      <c r="Z131" s="6"/>
      <c r="AA131" s="5"/>
      <c r="AB131" s="6"/>
      <c r="AC131" s="5"/>
      <c r="AD131" s="6"/>
      <c r="AE131" s="5"/>
      <c r="AF131" s="6"/>
      <c r="AG131" s="5"/>
      <c r="AH131" s="6"/>
      <c r="AI131" s="5"/>
      <c r="AJ131" s="136"/>
    </row>
    <row r="132" spans="1:36" ht="6.6" customHeight="1">
      <c r="D132" s="13"/>
      <c r="E132" s="13"/>
      <c r="F132" s="13"/>
      <c r="G132" s="13"/>
      <c r="H132" s="13"/>
      <c r="N132" s="4"/>
      <c r="O132" s="19"/>
      <c r="P132" s="19"/>
      <c r="Q132" s="19"/>
      <c r="R132" s="19"/>
      <c r="S132" s="19"/>
      <c r="T132" s="19"/>
      <c r="U132" s="18"/>
    </row>
    <row r="133" spans="1:36" s="14" customFormat="1" ht="15.95" customHeight="1">
      <c r="A133" s="11">
        <v>10</v>
      </c>
      <c r="B133" s="32" t="s">
        <v>151</v>
      </c>
      <c r="E133" s="32"/>
      <c r="F133" s="32"/>
      <c r="G133" s="32"/>
      <c r="H133" s="32"/>
      <c r="M133" s="139"/>
      <c r="O133" s="19"/>
      <c r="P133" s="19"/>
      <c r="Q133" s="19"/>
      <c r="R133" s="19"/>
      <c r="S133" s="19"/>
      <c r="T133" s="19"/>
      <c r="U133" s="25"/>
      <c r="V133" s="17"/>
      <c r="W133" s="17"/>
      <c r="X133" s="16"/>
      <c r="Y133" s="15"/>
      <c r="Z133" s="16"/>
      <c r="AA133" s="15"/>
      <c r="AB133" s="16"/>
      <c r="AC133" s="15"/>
      <c r="AD133" s="16"/>
      <c r="AE133" s="15"/>
      <c r="AF133" s="16"/>
      <c r="AG133" s="15"/>
      <c r="AH133" s="16"/>
      <c r="AI133" s="15"/>
      <c r="AJ133" s="70"/>
    </row>
    <row r="134" spans="1:36" s="14" customFormat="1" ht="15.95" customHeight="1">
      <c r="A134" s="11">
        <v>10.1</v>
      </c>
      <c r="B134" s="64">
        <v>0</v>
      </c>
      <c r="C134" s="500" t="s">
        <v>150</v>
      </c>
      <c r="D134" s="500"/>
      <c r="E134" s="500"/>
      <c r="F134" s="500"/>
      <c r="G134" s="500"/>
      <c r="H134" s="500"/>
      <c r="I134" s="500"/>
      <c r="J134" s="500"/>
      <c r="K134" s="500"/>
      <c r="L134" s="500"/>
      <c r="M134" s="139"/>
      <c r="O134" s="19"/>
      <c r="P134" s="19"/>
      <c r="Q134" s="19"/>
      <c r="R134" s="19"/>
      <c r="S134" s="19"/>
      <c r="T134" s="19"/>
      <c r="U134" s="25"/>
      <c r="V134" s="17"/>
      <c r="W134" s="17"/>
      <c r="X134" s="16"/>
      <c r="Y134" s="15"/>
      <c r="Z134" s="16"/>
      <c r="AA134" s="15"/>
      <c r="AB134" s="16"/>
      <c r="AC134" s="15"/>
      <c r="AD134" s="16"/>
      <c r="AE134" s="15"/>
      <c r="AF134" s="16"/>
      <c r="AG134" s="15"/>
      <c r="AH134" s="16"/>
      <c r="AI134" s="15"/>
      <c r="AJ134" s="70"/>
    </row>
    <row r="135" spans="1:36" s="14" customFormat="1" ht="15.95" customHeight="1">
      <c r="A135" s="11"/>
      <c r="B135" s="47" t="s">
        <v>1</v>
      </c>
      <c r="C135" s="85">
        <f>+IF(offene_Ackerfläche&gt;0,B134/offene_Ackerfläche,0)</f>
        <v>0</v>
      </c>
      <c r="D135" s="500" t="s">
        <v>142</v>
      </c>
      <c r="E135" s="500"/>
      <c r="F135" s="500"/>
      <c r="G135" s="500"/>
      <c r="H135" s="500"/>
      <c r="I135" s="500"/>
      <c r="J135" s="500"/>
      <c r="K135" s="500"/>
      <c r="L135" s="500"/>
      <c r="M135" s="53">
        <f>+IF(C135&gt;AD135,AE135,IF(C135&gt;AB135,AC135,IF(C135&gt;Z135,AA135,IF(C135&gt;=X135,Y135,0))))</f>
        <v>0</v>
      </c>
      <c r="O135" s="238" t="str">
        <f>+X135*100&amp;"–"&amp;Z135*100</f>
        <v>3–5</v>
      </c>
      <c r="P135" s="224" t="str">
        <f>+"&gt;"&amp;Z135*100&amp;"–"&amp;AB135*100</f>
        <v>&gt;5–10</v>
      </c>
      <c r="Q135" s="224" t="str">
        <f>+"&gt;"&amp;AB135*100&amp;"–"&amp;AD135*100</f>
        <v>&gt;10–20</v>
      </c>
      <c r="R135" s="19" t="str">
        <f>+"&gt;"&amp;AD135*100</f>
        <v>&gt;20</v>
      </c>
      <c r="S135" s="27"/>
      <c r="T135" s="27"/>
      <c r="U135" s="25" t="s">
        <v>15</v>
      </c>
      <c r="V135" s="41"/>
      <c r="W135" s="17"/>
      <c r="X135" s="50">
        <v>0.03</v>
      </c>
      <c r="Y135" s="15">
        <v>0.5</v>
      </c>
      <c r="Z135" s="50">
        <v>0.05</v>
      </c>
      <c r="AA135" s="15">
        <v>1</v>
      </c>
      <c r="AB135" s="50">
        <v>0.1</v>
      </c>
      <c r="AC135" s="15">
        <v>1.5</v>
      </c>
      <c r="AD135" s="50">
        <v>0.2</v>
      </c>
      <c r="AE135" s="15">
        <v>2</v>
      </c>
      <c r="AF135" s="50"/>
      <c r="AG135" s="15"/>
      <c r="AH135" s="50"/>
      <c r="AI135" s="15"/>
      <c r="AJ135" s="70"/>
    </row>
    <row r="136" spans="1:36" s="14" customFormat="1" ht="15.95" customHeight="1">
      <c r="A136" s="65" t="s">
        <v>55</v>
      </c>
      <c r="B136" s="64">
        <v>0</v>
      </c>
      <c r="C136" s="500" t="s">
        <v>149</v>
      </c>
      <c r="D136" s="500"/>
      <c r="E136" s="500"/>
      <c r="F136" s="500"/>
      <c r="G136" s="500"/>
      <c r="H136" s="32"/>
      <c r="L136" s="32"/>
      <c r="M136" s="34"/>
      <c r="N136" s="34"/>
      <c r="O136" s="33"/>
      <c r="P136" s="33"/>
      <c r="Q136" s="19"/>
      <c r="R136" s="19"/>
      <c r="S136" s="19"/>
      <c r="T136" s="19"/>
      <c r="U136" s="19"/>
      <c r="V136" s="41"/>
      <c r="W136" s="17"/>
      <c r="X136" s="56"/>
      <c r="Y136" s="15"/>
      <c r="Z136" s="56"/>
      <c r="AA136" s="55"/>
      <c r="AB136" s="56"/>
      <c r="AC136" s="55"/>
      <c r="AD136" s="56"/>
      <c r="AE136" s="55"/>
      <c r="AF136" s="16"/>
      <c r="AG136" s="15"/>
      <c r="AH136" s="16"/>
      <c r="AI136" s="15"/>
      <c r="AJ136" s="70"/>
    </row>
    <row r="137" spans="1:36" s="14" customFormat="1" ht="15.95" customHeight="1">
      <c r="A137" s="11"/>
      <c r="B137" s="47" t="s">
        <v>1</v>
      </c>
      <c r="C137" s="85">
        <f>+IF(offene_Ackerfläche&gt;0,B136/offene_Ackerfläche,0)</f>
        <v>0</v>
      </c>
      <c r="D137" s="500" t="s">
        <v>142</v>
      </c>
      <c r="E137" s="500"/>
      <c r="F137" s="500"/>
      <c r="G137" s="500"/>
      <c r="H137" s="500"/>
      <c r="I137" s="500"/>
      <c r="J137" s="500"/>
      <c r="K137" s="500"/>
      <c r="L137" s="500"/>
      <c r="M137" s="53">
        <f>+IF(C137&gt;AD137,AE137,IF(C137&gt;AB137,AC137,IF(C137&gt;Z137,AA137,IF(C137&gt;=X137,Y137,0))))</f>
        <v>0</v>
      </c>
      <c r="N137" s="34"/>
      <c r="O137" s="238" t="str">
        <f>+X137*100&amp;"–"&amp;Z137*100</f>
        <v>3–5</v>
      </c>
      <c r="P137" s="224" t="str">
        <f>+"&gt;"&amp;Z137*100&amp;"–"&amp;AB137*100</f>
        <v>&gt;5–10</v>
      </c>
      <c r="Q137" s="224" t="str">
        <f>+"&gt;"&amp;AB137*100&amp;"–"&amp;AD137*100</f>
        <v>&gt;10–20</v>
      </c>
      <c r="R137" s="19" t="str">
        <f>+"&gt;"&amp;AD137*100</f>
        <v>&gt;20</v>
      </c>
      <c r="S137" s="27"/>
      <c r="T137" s="19"/>
      <c r="U137" s="25" t="s">
        <v>15</v>
      </c>
      <c r="V137" s="41"/>
      <c r="W137" s="17"/>
      <c r="X137" s="56">
        <v>0.03</v>
      </c>
      <c r="Y137" s="15">
        <v>0.5</v>
      </c>
      <c r="Z137" s="56">
        <v>0.05</v>
      </c>
      <c r="AA137" s="55">
        <v>1</v>
      </c>
      <c r="AB137" s="56">
        <v>0.1</v>
      </c>
      <c r="AC137" s="55">
        <v>1.5</v>
      </c>
      <c r="AD137" s="56">
        <v>0.2</v>
      </c>
      <c r="AE137" s="55">
        <v>2</v>
      </c>
      <c r="AF137" s="16"/>
      <c r="AG137" s="15"/>
      <c r="AH137" s="16"/>
      <c r="AI137" s="15"/>
      <c r="AJ137" s="70"/>
    </row>
    <row r="138" spans="1:36" s="14" customFormat="1" ht="15.95" customHeight="1">
      <c r="A138" s="11">
        <v>10.199999999999999</v>
      </c>
      <c r="B138" s="64">
        <v>0</v>
      </c>
      <c r="C138" s="500" t="s">
        <v>148</v>
      </c>
      <c r="D138" s="500"/>
      <c r="E138" s="500"/>
      <c r="F138" s="500"/>
      <c r="G138" s="500"/>
      <c r="H138" s="500"/>
      <c r="I138" s="500"/>
      <c r="J138" s="500"/>
      <c r="K138" s="500"/>
      <c r="L138" s="500"/>
      <c r="M138" s="34"/>
      <c r="O138" s="69"/>
      <c r="P138" s="19"/>
      <c r="Q138" s="19"/>
      <c r="R138" s="19"/>
      <c r="S138" s="19"/>
      <c r="T138" s="19"/>
      <c r="U138" s="25"/>
      <c r="V138" s="41"/>
      <c r="W138" s="17"/>
      <c r="X138" s="50"/>
      <c r="Y138" s="15"/>
      <c r="Z138" s="50"/>
      <c r="AA138" s="15"/>
      <c r="AB138" s="50"/>
      <c r="AC138" s="15"/>
      <c r="AD138" s="50"/>
      <c r="AE138" s="15"/>
      <c r="AF138" s="16"/>
      <c r="AG138" s="15"/>
      <c r="AH138" s="16"/>
      <c r="AI138" s="15"/>
      <c r="AJ138" s="70"/>
    </row>
    <row r="139" spans="1:36" s="14" customFormat="1" ht="15.95" customHeight="1">
      <c r="A139" s="11"/>
      <c r="B139" s="47" t="s">
        <v>1</v>
      </c>
      <c r="C139" s="85">
        <f>+IF(offene_Ackerfläche&gt;0,B138/offene_Ackerfläche,0)</f>
        <v>0</v>
      </c>
      <c r="D139" s="500" t="s">
        <v>142</v>
      </c>
      <c r="E139" s="500"/>
      <c r="F139" s="500"/>
      <c r="G139" s="500"/>
      <c r="H139" s="500"/>
      <c r="I139" s="500"/>
      <c r="J139" s="500"/>
      <c r="K139" s="500"/>
      <c r="L139" s="500"/>
      <c r="M139" s="53">
        <f>+IF(C139&gt;AD139,AE139,IF(C139&gt;AB139,AC139,IF(C139&gt;Z139,AA139,IF(C139&gt;=X139,Y139,0))))</f>
        <v>0</v>
      </c>
      <c r="O139" s="238" t="str">
        <f>+X139*100&amp;"–"&amp;Z139*100</f>
        <v>3–5</v>
      </c>
      <c r="P139" s="224" t="str">
        <f>+"&gt;"&amp;Z139*100&amp;"–"&amp;AB139*100</f>
        <v>&gt;5–10</v>
      </c>
      <c r="Q139" s="224" t="str">
        <f>+"&gt;"&amp;AB139*100&amp;"–"&amp;AD139*100</f>
        <v>&gt;10–20</v>
      </c>
      <c r="R139" s="19" t="str">
        <f>+"&gt;"&amp;AD139*100</f>
        <v>&gt;20</v>
      </c>
      <c r="S139" s="27"/>
      <c r="T139" s="27"/>
      <c r="U139" s="25" t="s">
        <v>15</v>
      </c>
      <c r="V139" s="41"/>
      <c r="W139" s="17"/>
      <c r="X139" s="50">
        <v>0.03</v>
      </c>
      <c r="Y139" s="15">
        <v>0.5</v>
      </c>
      <c r="Z139" s="50">
        <v>0.05</v>
      </c>
      <c r="AA139" s="15">
        <v>1</v>
      </c>
      <c r="AB139" s="50">
        <v>0.1</v>
      </c>
      <c r="AC139" s="15">
        <v>1.5</v>
      </c>
      <c r="AD139" s="50">
        <v>0.2</v>
      </c>
      <c r="AE139" s="15">
        <v>2</v>
      </c>
      <c r="AF139" s="50"/>
      <c r="AG139" s="15"/>
      <c r="AH139" s="50"/>
      <c r="AI139" s="15"/>
      <c r="AJ139" s="70"/>
    </row>
    <row r="140" spans="1:36" s="14" customFormat="1" ht="15.95" customHeight="1">
      <c r="A140" s="11">
        <v>10.3</v>
      </c>
      <c r="B140" s="64">
        <v>0</v>
      </c>
      <c r="C140" s="500" t="s">
        <v>147</v>
      </c>
      <c r="D140" s="500"/>
      <c r="E140" s="500"/>
      <c r="F140" s="500"/>
      <c r="G140" s="500"/>
      <c r="H140" s="500"/>
      <c r="I140" s="500"/>
      <c r="J140" s="500"/>
      <c r="K140" s="500"/>
      <c r="L140" s="500"/>
      <c r="M140" s="34"/>
      <c r="O140" s="69"/>
      <c r="P140" s="19"/>
      <c r="Q140" s="19"/>
      <c r="R140" s="19"/>
      <c r="S140" s="19"/>
      <c r="T140" s="19"/>
      <c r="U140" s="25"/>
      <c r="V140" s="41"/>
      <c r="W140" s="17"/>
      <c r="X140" s="50"/>
      <c r="Y140" s="15"/>
      <c r="Z140" s="50"/>
      <c r="AA140" s="15"/>
      <c r="AB140" s="50"/>
      <c r="AC140" s="15"/>
      <c r="AD140" s="50"/>
      <c r="AE140" s="15"/>
      <c r="AF140" s="16"/>
      <c r="AG140" s="15"/>
      <c r="AH140" s="16"/>
      <c r="AI140" s="15"/>
      <c r="AJ140" s="70"/>
    </row>
    <row r="141" spans="1:36" s="14" customFormat="1" ht="15.95" customHeight="1">
      <c r="B141" s="47" t="s">
        <v>1</v>
      </c>
      <c r="C141" s="85">
        <f>+IF(offene_Ackerfläche&gt;0,B140/offene_Ackerfläche,0)</f>
        <v>0</v>
      </c>
      <c r="D141" s="500" t="s">
        <v>142</v>
      </c>
      <c r="E141" s="500"/>
      <c r="F141" s="500"/>
      <c r="G141" s="500"/>
      <c r="H141" s="500"/>
      <c r="I141" s="500"/>
      <c r="J141" s="500"/>
      <c r="K141" s="500"/>
      <c r="L141" s="500"/>
      <c r="M141" s="53">
        <f>+IF(C141&gt;AD141,AE141,IF(C141&gt;AB141,AC141,IF(C141&gt;Z141,AA141,IF(C141&gt;=X141,Y141,0))))</f>
        <v>0</v>
      </c>
      <c r="O141" s="238" t="str">
        <f>+X141*100&amp;"–"&amp;Z141*100</f>
        <v>10–15</v>
      </c>
      <c r="P141" s="224" t="str">
        <f>+"&gt;"&amp;Z141*100&amp;"–"&amp;AB141*100</f>
        <v>&gt;15–20</v>
      </c>
      <c r="Q141" s="224" t="str">
        <f>+"&gt;"&amp;AB141*100&amp;"–"&amp;AD141*100</f>
        <v>&gt;20–25</v>
      </c>
      <c r="R141" s="19" t="str">
        <f>+"&gt;"&amp;AD141*100</f>
        <v>&gt;25</v>
      </c>
      <c r="S141" s="19"/>
      <c r="T141" s="19"/>
      <c r="U141" s="25" t="s">
        <v>15</v>
      </c>
      <c r="V141" s="41"/>
      <c r="W141" s="17"/>
      <c r="X141" s="50">
        <v>0.1</v>
      </c>
      <c r="Y141" s="15">
        <v>0.5</v>
      </c>
      <c r="Z141" s="50">
        <v>0.15</v>
      </c>
      <c r="AA141" s="15">
        <v>1</v>
      </c>
      <c r="AB141" s="50">
        <v>0.2</v>
      </c>
      <c r="AC141" s="15">
        <v>1.5</v>
      </c>
      <c r="AD141" s="50">
        <v>0.25</v>
      </c>
      <c r="AE141" s="15">
        <v>2</v>
      </c>
      <c r="AF141" s="16"/>
      <c r="AG141" s="15"/>
      <c r="AH141" s="16"/>
      <c r="AI141" s="15"/>
      <c r="AJ141" s="70"/>
    </row>
    <row r="142" spans="1:36" s="14" customFormat="1" ht="15.95" customHeight="1">
      <c r="A142" s="11">
        <v>10.4</v>
      </c>
      <c r="B142" s="64">
        <v>0</v>
      </c>
      <c r="C142" s="500" t="s">
        <v>146</v>
      </c>
      <c r="D142" s="500"/>
      <c r="E142" s="500"/>
      <c r="F142" s="500"/>
      <c r="G142" s="500"/>
      <c r="H142" s="500"/>
      <c r="I142" s="500"/>
      <c r="J142" s="500"/>
      <c r="K142" s="500"/>
      <c r="L142" s="500"/>
      <c r="M142" s="34"/>
      <c r="O142" s="33"/>
      <c r="P142" s="19"/>
      <c r="Q142" s="19"/>
      <c r="R142" s="19"/>
      <c r="S142" s="19"/>
      <c r="T142" s="19"/>
      <c r="U142" s="25"/>
      <c r="V142" s="41"/>
      <c r="W142" s="17"/>
      <c r="X142" s="50"/>
      <c r="Y142" s="15"/>
      <c r="Z142" s="50"/>
      <c r="AA142" s="15"/>
      <c r="AB142" s="50"/>
      <c r="AC142" s="15"/>
      <c r="AD142" s="50"/>
      <c r="AE142" s="15"/>
      <c r="AF142" s="16"/>
      <c r="AG142" s="15"/>
      <c r="AH142" s="16"/>
      <c r="AI142" s="15"/>
      <c r="AJ142" s="70"/>
    </row>
    <row r="143" spans="1:36" s="14" customFormat="1" ht="15.95" customHeight="1">
      <c r="B143" s="47" t="s">
        <v>1</v>
      </c>
      <c r="C143" s="85">
        <f>+IF(offene_Ackerfläche&gt;0,B142/offene_Ackerfläche,0)</f>
        <v>0</v>
      </c>
      <c r="D143" s="500" t="s">
        <v>142</v>
      </c>
      <c r="E143" s="500"/>
      <c r="F143" s="500"/>
      <c r="G143" s="500"/>
      <c r="H143" s="500"/>
      <c r="I143" s="500"/>
      <c r="J143" s="500"/>
      <c r="K143" s="500"/>
      <c r="L143" s="500"/>
      <c r="M143" s="53">
        <f>+IF(C143&gt;AD143,AE143,IF(C143&gt;AB143,AC143,IF(C143&gt;Z143,AA143,IF(C143&gt;=X143,Y143,0))))</f>
        <v>0</v>
      </c>
      <c r="O143" s="238" t="str">
        <f>+X143*100&amp;"–"&amp;Z143*100</f>
        <v>10–15</v>
      </c>
      <c r="P143" s="224" t="str">
        <f>+"&gt;"&amp;Z143*100&amp;"–"&amp;AB143*100</f>
        <v>&gt;15–20</v>
      </c>
      <c r="Q143" s="224" t="str">
        <f>+"&gt;"&amp;AB143*100&amp;"–"&amp;AD143*100</f>
        <v>&gt;20–25</v>
      </c>
      <c r="R143" s="19" t="str">
        <f>+"&gt;"&amp;AD143*100</f>
        <v>&gt;25</v>
      </c>
      <c r="S143" s="19"/>
      <c r="T143" s="19"/>
      <c r="U143" s="25" t="s">
        <v>15</v>
      </c>
      <c r="V143" s="41"/>
      <c r="W143" s="17"/>
      <c r="X143" s="50">
        <v>0.1</v>
      </c>
      <c r="Y143" s="15">
        <v>0.5</v>
      </c>
      <c r="Z143" s="50">
        <v>0.15</v>
      </c>
      <c r="AA143" s="15">
        <v>1</v>
      </c>
      <c r="AB143" s="50">
        <v>0.2</v>
      </c>
      <c r="AC143" s="15">
        <v>1.5</v>
      </c>
      <c r="AD143" s="50">
        <v>0.25</v>
      </c>
      <c r="AE143" s="15">
        <v>2</v>
      </c>
      <c r="AF143" s="16"/>
      <c r="AG143" s="15"/>
      <c r="AH143" s="16"/>
      <c r="AI143" s="15"/>
      <c r="AJ143" s="70"/>
    </row>
    <row r="144" spans="1:36" s="14" customFormat="1" ht="15.95" customHeight="1">
      <c r="A144" s="11">
        <v>10.5</v>
      </c>
      <c r="B144" s="64">
        <v>0</v>
      </c>
      <c r="C144" s="500" t="s">
        <v>145</v>
      </c>
      <c r="D144" s="500"/>
      <c r="E144" s="500"/>
      <c r="F144" s="500"/>
      <c r="G144" s="500"/>
      <c r="H144" s="500"/>
      <c r="I144" s="500"/>
      <c r="J144" s="500"/>
      <c r="K144" s="500"/>
      <c r="L144" s="500"/>
      <c r="M144" s="34"/>
      <c r="O144" s="33"/>
      <c r="P144" s="19"/>
      <c r="Q144" s="19"/>
      <c r="R144" s="19"/>
      <c r="S144" s="19"/>
      <c r="T144" s="19"/>
      <c r="U144" s="25"/>
      <c r="V144" s="41"/>
      <c r="W144" s="17"/>
      <c r="X144" s="50"/>
      <c r="Y144" s="15"/>
      <c r="Z144" s="50"/>
      <c r="AA144" s="15"/>
      <c r="AB144" s="50"/>
      <c r="AC144" s="15"/>
      <c r="AD144" s="16"/>
      <c r="AE144" s="15"/>
      <c r="AF144" s="16"/>
      <c r="AG144" s="15"/>
      <c r="AH144" s="16"/>
      <c r="AI144" s="15"/>
      <c r="AJ144" s="70"/>
    </row>
    <row r="145" spans="1:40" s="14" customFormat="1" ht="15.95" customHeight="1">
      <c r="B145" s="47" t="s">
        <v>1</v>
      </c>
      <c r="C145" s="85">
        <f>+IF(offene_Ackerfläche&gt;0,B144/offene_Ackerfläche,0)</f>
        <v>0</v>
      </c>
      <c r="D145" s="500" t="s">
        <v>142</v>
      </c>
      <c r="E145" s="500"/>
      <c r="F145" s="500"/>
      <c r="G145" s="500"/>
      <c r="H145" s="500"/>
      <c r="I145" s="500"/>
      <c r="J145" s="500"/>
      <c r="K145" s="500"/>
      <c r="L145" s="500"/>
      <c r="M145" s="53">
        <f>+IF(C145&gt;AD145,AE145,IF(C145&gt;AB145,AC145,IF(C145&gt;Z145,AA145,IF(C145&gt;=X145,Y145,0))))</f>
        <v>0</v>
      </c>
      <c r="O145" s="238" t="str">
        <f>+X145*100&amp;"–"&amp;Z145*100</f>
        <v>10–15</v>
      </c>
      <c r="P145" s="224" t="str">
        <f>+"&gt;"&amp;Z145*100&amp;"–"&amp;AB145*100</f>
        <v>&gt;15–20</v>
      </c>
      <c r="Q145" s="224" t="str">
        <f>+"&gt;"&amp;AB145*100&amp;"–"&amp;AD145*100</f>
        <v>&gt;20–25</v>
      </c>
      <c r="R145" s="19" t="str">
        <f>+"&gt;"&amp;AD145*100</f>
        <v>&gt;25</v>
      </c>
      <c r="S145" s="19"/>
      <c r="T145" s="19"/>
      <c r="U145" s="25" t="s">
        <v>15</v>
      </c>
      <c r="V145" s="41"/>
      <c r="W145" s="17"/>
      <c r="X145" s="50">
        <v>0.1</v>
      </c>
      <c r="Y145" s="15">
        <v>0.5</v>
      </c>
      <c r="Z145" s="50">
        <v>0.15</v>
      </c>
      <c r="AA145" s="15">
        <v>1</v>
      </c>
      <c r="AB145" s="50">
        <v>0.2</v>
      </c>
      <c r="AC145" s="15">
        <v>1.5</v>
      </c>
      <c r="AD145" s="50">
        <v>0.25</v>
      </c>
      <c r="AE145" s="15">
        <v>2</v>
      </c>
      <c r="AF145" s="16"/>
      <c r="AG145" s="15"/>
      <c r="AH145" s="16"/>
      <c r="AI145" s="15"/>
      <c r="AJ145" s="70"/>
    </row>
    <row r="146" spans="1:40" s="14" customFormat="1" ht="15.95" customHeight="1">
      <c r="A146" s="11">
        <v>10.6</v>
      </c>
      <c r="B146" s="64">
        <v>0</v>
      </c>
      <c r="C146" s="500" t="s">
        <v>144</v>
      </c>
      <c r="D146" s="500"/>
      <c r="E146" s="500"/>
      <c r="F146" s="500"/>
      <c r="G146" s="500"/>
      <c r="H146" s="500"/>
      <c r="I146" s="500"/>
      <c r="J146" s="500"/>
      <c r="K146" s="500"/>
      <c r="L146" s="500"/>
      <c r="M146" s="500"/>
      <c r="O146" s="19"/>
      <c r="P146" s="33"/>
      <c r="Q146" s="19"/>
      <c r="R146" s="19"/>
      <c r="S146" s="19"/>
      <c r="T146" s="19"/>
      <c r="U146" s="25"/>
      <c r="V146" s="62"/>
      <c r="W146" s="61"/>
      <c r="X146" s="56"/>
      <c r="Y146" s="15"/>
      <c r="Z146" s="56"/>
      <c r="AA146" s="15"/>
      <c r="AB146" s="56"/>
      <c r="AC146" s="15"/>
      <c r="AD146" s="56"/>
      <c r="AE146" s="15"/>
      <c r="AF146" s="16"/>
      <c r="AG146" s="15"/>
      <c r="AH146" s="16"/>
      <c r="AI146" s="15"/>
      <c r="AJ146" s="70"/>
    </row>
    <row r="147" spans="1:40" s="14" customFormat="1" ht="15.95" customHeight="1">
      <c r="B147" s="47" t="s">
        <v>1</v>
      </c>
      <c r="C147" s="85">
        <f>+IF(offene_Ackerfläche&gt;0,B146/offene_Ackerfläche,0)</f>
        <v>0</v>
      </c>
      <c r="D147" s="500" t="s">
        <v>142</v>
      </c>
      <c r="E147" s="500"/>
      <c r="F147" s="500"/>
      <c r="G147" s="500"/>
      <c r="H147" s="500"/>
      <c r="I147" s="500"/>
      <c r="J147" s="500"/>
      <c r="K147" s="500"/>
      <c r="L147" s="500"/>
      <c r="M147" s="53">
        <f>+IF(C147&gt;AD147,AE147,IF(C147&gt;AB147,AC147,IF(C147&gt;Z147,AA147,IF(C147&gt;=X147,Y147,0))))</f>
        <v>0</v>
      </c>
      <c r="O147" s="238" t="str">
        <f>+X147*100&amp;"–"&amp;Z147*100</f>
        <v>1.5–2</v>
      </c>
      <c r="P147" s="224" t="str">
        <f>+"&gt;"&amp;Z147*100&amp;"–"&amp;AB147*100</f>
        <v>&gt;2–2.5</v>
      </c>
      <c r="Q147" s="224" t="str">
        <f>+"&gt;"&amp;AB147*100&amp;"–"&amp;AD147*100</f>
        <v>&gt;2.5–3</v>
      </c>
      <c r="R147" s="19" t="str">
        <f>+"&gt;"&amp;AD147*100</f>
        <v>&gt;3</v>
      </c>
      <c r="S147" s="19"/>
      <c r="T147" s="19"/>
      <c r="U147" s="25" t="s">
        <v>15</v>
      </c>
      <c r="V147" s="41"/>
      <c r="W147" s="60"/>
      <c r="X147" s="56">
        <v>1.4999999999999999E-2</v>
      </c>
      <c r="Y147" s="15">
        <v>0.5</v>
      </c>
      <c r="Z147" s="56">
        <v>0.02</v>
      </c>
      <c r="AA147" s="55">
        <v>1</v>
      </c>
      <c r="AB147" s="56">
        <v>2.5000000000000001E-2</v>
      </c>
      <c r="AC147" s="55">
        <v>1.5</v>
      </c>
      <c r="AD147" s="56">
        <v>0.03</v>
      </c>
      <c r="AE147" s="55">
        <v>2</v>
      </c>
      <c r="AF147" s="59"/>
      <c r="AG147" s="55"/>
      <c r="AH147" s="59"/>
      <c r="AI147" s="55"/>
      <c r="AJ147" s="70"/>
    </row>
    <row r="148" spans="1:40" s="14" customFormat="1" ht="15.95" customHeight="1">
      <c r="A148" s="11">
        <v>10.7</v>
      </c>
      <c r="B148" s="64">
        <v>0</v>
      </c>
      <c r="C148" s="511" t="s">
        <v>308</v>
      </c>
      <c r="D148" s="511"/>
      <c r="E148" s="511"/>
      <c r="F148" s="511"/>
      <c r="G148" s="511"/>
      <c r="H148" s="511"/>
      <c r="I148" s="511"/>
      <c r="J148" s="511"/>
      <c r="K148" s="511"/>
      <c r="L148" s="511"/>
      <c r="M148" s="26"/>
      <c r="O148" s="33"/>
      <c r="P148" s="19"/>
      <c r="Q148" s="19"/>
      <c r="R148" s="19"/>
      <c r="S148" s="19"/>
      <c r="T148" s="19"/>
      <c r="U148" s="25"/>
      <c r="V148" s="41"/>
      <c r="W148" s="60"/>
      <c r="X148" s="56"/>
      <c r="Y148" s="15"/>
      <c r="Z148" s="56"/>
      <c r="AA148" s="55"/>
      <c r="AB148" s="56"/>
      <c r="AC148" s="55"/>
      <c r="AD148" s="59"/>
      <c r="AE148" s="55"/>
      <c r="AF148" s="59"/>
      <c r="AG148" s="55"/>
      <c r="AH148" s="59"/>
      <c r="AI148" s="55"/>
      <c r="AJ148" s="70"/>
    </row>
    <row r="149" spans="1:40" s="14" customFormat="1" ht="15.95" customHeight="1">
      <c r="A149" s="11"/>
      <c r="B149" s="47" t="s">
        <v>1</v>
      </c>
      <c r="C149" s="85">
        <f>+IF(offene_Ackerfläche&gt;0,B148/offene_Ackerfläche,0)</f>
        <v>0</v>
      </c>
      <c r="D149" s="500" t="s">
        <v>142</v>
      </c>
      <c r="E149" s="500"/>
      <c r="F149" s="500"/>
      <c r="G149" s="500"/>
      <c r="H149" s="500"/>
      <c r="I149" s="500"/>
      <c r="J149" s="500"/>
      <c r="K149" s="500"/>
      <c r="L149" s="500"/>
      <c r="M149" s="53">
        <f>+IF(C149&gt;AD149,AE149,IF(C149&gt;AB149,AC149,IF(C149&gt;Z149,AA149,IF(C149&gt;=X149,Y149,0))))</f>
        <v>0</v>
      </c>
      <c r="O149" s="238" t="str">
        <f>+X149*100&amp;"–"&amp;Z149*100</f>
        <v>5–15</v>
      </c>
      <c r="P149" s="224" t="str">
        <f>+"&gt;"&amp;Z149*100&amp;"–"&amp;AB149*100</f>
        <v>&gt;15–25</v>
      </c>
      <c r="Q149" s="224" t="str">
        <f>+"&gt;"&amp;AB149*100&amp;"–"&amp;AD149*100</f>
        <v>&gt;25–35</v>
      </c>
      <c r="R149" s="19" t="str">
        <f>+"&gt;"&amp;AD149*100</f>
        <v>&gt;35</v>
      </c>
      <c r="S149" s="19"/>
      <c r="T149" s="19"/>
      <c r="U149" s="25" t="s">
        <v>15</v>
      </c>
      <c r="V149" s="41"/>
      <c r="W149" s="60"/>
      <c r="X149" s="56">
        <v>0.05</v>
      </c>
      <c r="Y149" s="15">
        <v>0.5</v>
      </c>
      <c r="Z149" s="56">
        <v>0.15</v>
      </c>
      <c r="AA149" s="55">
        <v>1</v>
      </c>
      <c r="AB149" s="56">
        <v>0.25</v>
      </c>
      <c r="AC149" s="55">
        <v>1.5</v>
      </c>
      <c r="AD149" s="56">
        <v>0.35</v>
      </c>
      <c r="AE149" s="55">
        <v>2</v>
      </c>
      <c r="AF149" s="56"/>
      <c r="AG149" s="55"/>
      <c r="AH149" s="59"/>
      <c r="AI149" s="55"/>
      <c r="AJ149" s="70"/>
    </row>
    <row r="150" spans="1:40" s="200" customFormat="1" ht="15.95" customHeight="1">
      <c r="A150" s="215" t="s">
        <v>58</v>
      </c>
      <c r="B150" s="211">
        <v>0</v>
      </c>
      <c r="C150" s="495" t="s">
        <v>310</v>
      </c>
      <c r="D150" s="495"/>
      <c r="E150" s="495"/>
      <c r="F150" s="495"/>
      <c r="G150" s="495"/>
      <c r="H150" s="495"/>
      <c r="I150" s="495"/>
      <c r="J150" s="495"/>
      <c r="K150" s="495"/>
      <c r="L150" s="495"/>
      <c r="O150" s="238"/>
      <c r="P150" s="224"/>
      <c r="Q150" s="224"/>
      <c r="R150" s="224"/>
      <c r="S150" s="224"/>
      <c r="T150" s="224"/>
      <c r="U150" s="228"/>
      <c r="V150" s="249"/>
      <c r="W150" s="251"/>
      <c r="X150" s="245"/>
      <c r="Y150" s="214"/>
      <c r="Z150" s="245"/>
      <c r="AA150" s="250"/>
      <c r="AB150" s="245"/>
      <c r="AC150" s="250"/>
      <c r="AD150" s="252"/>
      <c r="AE150" s="250"/>
      <c r="AF150" s="252"/>
      <c r="AG150" s="250"/>
      <c r="AH150" s="252"/>
      <c r="AI150" s="250"/>
      <c r="AJ150" s="202"/>
      <c r="AK150" s="184"/>
      <c r="AL150" s="184"/>
      <c r="AM150" s="184"/>
      <c r="AN150" s="184"/>
    </row>
    <row r="151" spans="1:40" s="200" customFormat="1" ht="15.95" customHeight="1">
      <c r="A151" s="199"/>
      <c r="B151" s="231" t="s">
        <v>1</v>
      </c>
      <c r="C151" s="240">
        <f>+IF(offene_Ackerfläche&gt;0,B150/offene_Ackerfläche,0)</f>
        <v>0</v>
      </c>
      <c r="D151" s="500" t="s">
        <v>142</v>
      </c>
      <c r="E151" s="500"/>
      <c r="F151" s="500"/>
      <c r="G151" s="500"/>
      <c r="H151" s="500"/>
      <c r="I151" s="500"/>
      <c r="J151" s="500"/>
      <c r="K151" s="500"/>
      <c r="L151" s="500"/>
      <c r="M151" s="248">
        <f>+IF(C151&gt;AD151,AE151,IF(C151&gt;AB151,AC151,IF(C151&gt;Z151,AA151,IF(C151&gt;=X151,Y151,0))))</f>
        <v>0</v>
      </c>
      <c r="O151" s="238" t="str">
        <f>+X151*100&amp;"–"&amp;Z151*100</f>
        <v>3.5–5</v>
      </c>
      <c r="P151" s="224" t="str">
        <f>+"&gt;"&amp;Z151*100&amp;"–"&amp;AB151*100</f>
        <v>&gt;5–10</v>
      </c>
      <c r="Q151" s="224" t="str">
        <f>+"&gt;"&amp;AB151*100&amp;"–"&amp;AD151*100</f>
        <v>&gt;10–20</v>
      </c>
      <c r="R151" s="224" t="str">
        <f>+"&gt;"&amp;AD151*100</f>
        <v>&gt;20</v>
      </c>
      <c r="S151" s="224"/>
      <c r="T151" s="224"/>
      <c r="U151" s="228" t="s">
        <v>15</v>
      </c>
      <c r="V151" s="249"/>
      <c r="W151" s="251"/>
      <c r="X151" s="245">
        <v>3.5000000000000003E-2</v>
      </c>
      <c r="Y151" s="214">
        <v>0.5</v>
      </c>
      <c r="Z151" s="245">
        <v>0.05</v>
      </c>
      <c r="AA151" s="250">
        <v>1</v>
      </c>
      <c r="AB151" s="245">
        <v>0.1</v>
      </c>
      <c r="AC151" s="250">
        <v>1.5</v>
      </c>
      <c r="AD151" s="245">
        <v>0.2</v>
      </c>
      <c r="AE151" s="250">
        <v>2</v>
      </c>
      <c r="AF151" s="245"/>
      <c r="AG151" s="250"/>
      <c r="AH151" s="252"/>
      <c r="AI151" s="250"/>
      <c r="AJ151" s="202"/>
      <c r="AK151" s="184"/>
      <c r="AL151" s="184"/>
      <c r="AM151" s="184"/>
      <c r="AN151" s="184"/>
    </row>
    <row r="152" spans="1:40" s="14" customFormat="1" ht="15.95" customHeight="1">
      <c r="A152" s="68" t="s">
        <v>26</v>
      </c>
      <c r="B152" s="64">
        <v>0</v>
      </c>
      <c r="C152" s="500" t="s">
        <v>143</v>
      </c>
      <c r="D152" s="500"/>
      <c r="E152" s="500"/>
      <c r="F152" s="500"/>
      <c r="G152" s="500"/>
      <c r="H152" s="500"/>
      <c r="I152" s="500"/>
      <c r="J152" s="500"/>
      <c r="K152" s="500"/>
      <c r="L152" s="500"/>
      <c r="M152" s="34"/>
      <c r="O152" s="33"/>
      <c r="P152" s="19"/>
      <c r="Q152" s="19"/>
      <c r="R152" s="19"/>
      <c r="S152" s="19"/>
      <c r="T152" s="19"/>
      <c r="U152" s="25"/>
      <c r="V152" s="41"/>
      <c r="W152" s="60"/>
      <c r="X152" s="56"/>
      <c r="Y152" s="15"/>
      <c r="Z152" s="56"/>
      <c r="AA152" s="55"/>
      <c r="AB152" s="56"/>
      <c r="AC152" s="55"/>
      <c r="AD152" s="59"/>
      <c r="AE152" s="55"/>
      <c r="AF152" s="59"/>
      <c r="AG152" s="55"/>
      <c r="AH152" s="59"/>
      <c r="AI152" s="55"/>
      <c r="AJ152" s="70"/>
    </row>
    <row r="153" spans="1:40" s="14" customFormat="1" ht="15.95" customHeight="1">
      <c r="A153" s="11"/>
      <c r="B153" s="47" t="s">
        <v>1</v>
      </c>
      <c r="C153" s="85">
        <f>+IF(offene_Ackerfläche&gt;0,B152/offene_Ackerfläche,0)</f>
        <v>0</v>
      </c>
      <c r="D153" s="14" t="s">
        <v>142</v>
      </c>
      <c r="M153" s="53">
        <f>+IF(C153&gt;AD153,AE153,IF(C153&gt;AB153,AC153,IF(C153&gt;Z153,AA153,IF(C153&gt;=X153,Y153,0))))</f>
        <v>0</v>
      </c>
      <c r="O153" s="238" t="str">
        <f>+X153*100&amp;"–"&amp;Z153*100</f>
        <v>5–10</v>
      </c>
      <c r="P153" s="224" t="str">
        <f>+"&gt;"&amp;Z153*100&amp;"–"&amp;AB153*100</f>
        <v>&gt;10–30</v>
      </c>
      <c r="Q153" s="224" t="str">
        <f>+"&gt;"&amp;AB153*100&amp;"–"&amp;AD153*100</f>
        <v>&gt;30–60</v>
      </c>
      <c r="R153" s="19" t="str">
        <f>+"&gt;"&amp;AD153*100</f>
        <v>&gt;60</v>
      </c>
      <c r="S153" s="19"/>
      <c r="T153" s="19"/>
      <c r="U153" s="25" t="s">
        <v>15</v>
      </c>
      <c r="V153" s="41"/>
      <c r="W153" s="17"/>
      <c r="X153" s="56">
        <v>0.05</v>
      </c>
      <c r="Y153" s="15">
        <v>0.5</v>
      </c>
      <c r="Z153" s="56">
        <v>0.1</v>
      </c>
      <c r="AA153" s="55">
        <v>1</v>
      </c>
      <c r="AB153" s="56">
        <v>0.3</v>
      </c>
      <c r="AC153" s="55">
        <v>1.5</v>
      </c>
      <c r="AD153" s="56">
        <v>0.6</v>
      </c>
      <c r="AE153" s="55">
        <v>2</v>
      </c>
      <c r="AF153" s="16"/>
      <c r="AG153" s="15"/>
      <c r="AH153" s="16"/>
      <c r="AI153" s="15"/>
      <c r="AJ153" s="70"/>
    </row>
    <row r="154" spans="1:40" ht="15.75" hidden="1" customHeight="1">
      <c r="A154" s="68"/>
      <c r="B154" s="4" t="s">
        <v>303</v>
      </c>
      <c r="D154" s="13"/>
      <c r="E154" s="13"/>
      <c r="F154" s="13"/>
      <c r="G154" s="13"/>
      <c r="H154" s="13"/>
      <c r="M154" s="36"/>
      <c r="N154" s="4"/>
      <c r="O154" s="19"/>
      <c r="P154" s="19"/>
      <c r="Q154" s="19"/>
      <c r="R154" s="19"/>
      <c r="S154" s="19"/>
      <c r="T154" s="19"/>
      <c r="U154" s="18"/>
    </row>
    <row r="155" spans="1:40" ht="15.75" hidden="1" customHeight="1">
      <c r="A155" s="68"/>
      <c r="D155" s="13"/>
      <c r="E155" s="13"/>
      <c r="F155" s="13"/>
      <c r="G155" s="13"/>
      <c r="H155" s="13"/>
      <c r="M155" s="36"/>
      <c r="N155" s="4"/>
      <c r="O155" s="19"/>
      <c r="P155" s="19"/>
      <c r="Q155" s="19"/>
      <c r="R155" s="19"/>
      <c r="S155" s="19"/>
      <c r="T155" s="19"/>
      <c r="U155" s="18"/>
    </row>
    <row r="156" spans="1:40" ht="6" customHeight="1">
      <c r="A156" s="68"/>
      <c r="D156" s="13"/>
      <c r="E156" s="13"/>
      <c r="F156" s="13"/>
      <c r="G156" s="13"/>
      <c r="H156" s="13"/>
      <c r="M156" s="36"/>
      <c r="N156" s="4"/>
      <c r="O156" s="19"/>
      <c r="P156" s="19"/>
      <c r="Q156" s="19"/>
      <c r="R156" s="19"/>
      <c r="S156" s="19"/>
      <c r="T156" s="19"/>
      <c r="U156" s="18"/>
    </row>
    <row r="157" spans="1:40" s="14" customFormat="1" ht="15.95" customHeight="1">
      <c r="A157" s="11"/>
      <c r="B157" s="32" t="s">
        <v>141</v>
      </c>
      <c r="C157" s="47"/>
      <c r="D157" s="52"/>
      <c r="M157" s="34">
        <f>SUM(M131:M154)</f>
        <v>0</v>
      </c>
      <c r="O157" s="33"/>
      <c r="P157" s="19"/>
      <c r="Q157" s="19"/>
      <c r="R157" s="19"/>
      <c r="S157" s="19"/>
      <c r="T157" s="19"/>
      <c r="U157" s="57"/>
      <c r="V157" s="41"/>
      <c r="W157" s="17"/>
      <c r="X157" s="56"/>
      <c r="Y157" s="15"/>
      <c r="Z157" s="56"/>
      <c r="AA157" s="55"/>
      <c r="AB157" s="56"/>
      <c r="AC157" s="55"/>
      <c r="AD157" s="56"/>
      <c r="AE157" s="55"/>
      <c r="AF157" s="16"/>
      <c r="AG157" s="15"/>
      <c r="AH157" s="16"/>
      <c r="AI157" s="15"/>
      <c r="AJ157" s="70"/>
    </row>
    <row r="158" spans="1:40" s="14" customFormat="1" ht="15.95" customHeight="1">
      <c r="A158" s="11"/>
      <c r="B158" s="14" t="s">
        <v>140</v>
      </c>
      <c r="C158" s="47"/>
      <c r="G158" s="52">
        <f>+offene_Ackerfläche/LN</f>
        <v>0</v>
      </c>
      <c r="M158" s="53"/>
      <c r="O158" s="19"/>
      <c r="P158" s="19"/>
      <c r="Q158" s="19"/>
      <c r="R158" s="19"/>
      <c r="S158" s="19"/>
      <c r="T158" s="19"/>
      <c r="U158" s="25"/>
      <c r="V158" s="41"/>
      <c r="W158" s="17"/>
      <c r="X158" s="50"/>
      <c r="Y158" s="15"/>
      <c r="Z158" s="50"/>
      <c r="AA158" s="15"/>
      <c r="AB158" s="50"/>
      <c r="AC158" s="15"/>
      <c r="AD158" s="16"/>
      <c r="AE158" s="15"/>
      <c r="AF158" s="16"/>
      <c r="AG158" s="15"/>
      <c r="AH158" s="16"/>
      <c r="AI158" s="15"/>
      <c r="AJ158" s="70"/>
    </row>
    <row r="159" spans="1:40" ht="6.6" customHeight="1">
      <c r="D159" s="13"/>
      <c r="E159" s="13"/>
      <c r="F159" s="13"/>
      <c r="G159" s="13"/>
      <c r="H159" s="13"/>
      <c r="N159" s="4"/>
      <c r="O159" s="19"/>
      <c r="P159" s="19"/>
      <c r="Q159" s="19"/>
      <c r="R159" s="19"/>
      <c r="S159" s="19"/>
      <c r="T159" s="19"/>
      <c r="U159" s="18"/>
    </row>
    <row r="160" spans="1:40" s="20" customFormat="1" ht="15.95" customHeight="1">
      <c r="A160" s="24" t="s">
        <v>139</v>
      </c>
      <c r="C160" s="24"/>
      <c r="K160" s="67"/>
      <c r="L160" s="67"/>
      <c r="N160" s="23">
        <f>+M157*G158</f>
        <v>0</v>
      </c>
      <c r="O160" s="22"/>
      <c r="P160" s="22"/>
      <c r="Q160" s="22"/>
      <c r="R160" s="22"/>
      <c r="S160" s="22"/>
      <c r="T160" s="22"/>
      <c r="U160" s="137"/>
      <c r="V160" s="6"/>
      <c r="W160" s="6"/>
      <c r="X160" s="6"/>
      <c r="Y160" s="5"/>
      <c r="Z160" s="6"/>
      <c r="AA160" s="5"/>
      <c r="AB160" s="6"/>
      <c r="AC160" s="5"/>
      <c r="AD160" s="6"/>
      <c r="AE160" s="5"/>
      <c r="AF160" s="6"/>
      <c r="AG160" s="5"/>
      <c r="AH160" s="6"/>
      <c r="AI160" s="5"/>
      <c r="AJ160" s="136"/>
    </row>
    <row r="161" spans="1:36" ht="6.6" customHeight="1">
      <c r="D161" s="13"/>
      <c r="E161" s="13"/>
      <c r="F161" s="13"/>
      <c r="G161" s="13"/>
      <c r="H161" s="13"/>
      <c r="N161" s="4"/>
      <c r="O161" s="19"/>
      <c r="P161" s="19"/>
      <c r="Q161" s="19"/>
      <c r="R161" s="19"/>
      <c r="S161" s="19"/>
      <c r="T161" s="19"/>
      <c r="U161" s="18"/>
      <c r="V161" s="6"/>
      <c r="W161" s="6"/>
    </row>
    <row r="162" spans="1:36" s="20" customFormat="1" ht="15.95" customHeight="1">
      <c r="A162" s="24" t="s">
        <v>138</v>
      </c>
      <c r="C162" s="24"/>
      <c r="K162" s="67"/>
      <c r="L162" s="67"/>
      <c r="M162" s="54" t="s">
        <v>121</v>
      </c>
      <c r="N162" s="54" t="s">
        <v>27</v>
      </c>
      <c r="O162" s="22" t="s">
        <v>120</v>
      </c>
      <c r="P162" s="22" t="s">
        <v>119</v>
      </c>
      <c r="Q162" s="22" t="s">
        <v>118</v>
      </c>
      <c r="R162" s="22" t="s">
        <v>117</v>
      </c>
      <c r="S162" s="22"/>
      <c r="T162" s="22"/>
      <c r="U162" s="22" t="s">
        <v>116</v>
      </c>
      <c r="V162" s="6"/>
      <c r="W162" s="6"/>
      <c r="X162" s="6"/>
      <c r="Y162" s="5"/>
      <c r="Z162" s="6"/>
      <c r="AA162" s="5"/>
      <c r="AB162" s="6"/>
      <c r="AC162" s="5"/>
      <c r="AD162" s="6"/>
      <c r="AE162" s="5"/>
      <c r="AF162" s="6"/>
      <c r="AG162" s="5"/>
      <c r="AH162" s="6"/>
      <c r="AI162" s="5"/>
      <c r="AJ162" s="136"/>
    </row>
    <row r="163" spans="1:36" ht="6.6" customHeight="1">
      <c r="D163" s="13"/>
      <c r="E163" s="13"/>
      <c r="F163" s="13"/>
      <c r="G163" s="13"/>
      <c r="H163" s="13"/>
      <c r="N163" s="4"/>
      <c r="O163" s="19"/>
      <c r="P163" s="19"/>
      <c r="Q163" s="19"/>
      <c r="R163" s="19"/>
      <c r="S163" s="19"/>
      <c r="T163" s="19"/>
      <c r="U163" s="18"/>
      <c r="V163" s="6"/>
      <c r="W163" s="6"/>
    </row>
    <row r="164" spans="1:36" s="14" customFormat="1" ht="15.95" customHeight="1">
      <c r="A164" s="11">
        <v>11</v>
      </c>
      <c r="B164" s="32" t="s">
        <v>137</v>
      </c>
      <c r="D164" s="32"/>
      <c r="E164" s="32"/>
      <c r="F164" s="32"/>
      <c r="G164" s="32"/>
      <c r="H164" s="32"/>
      <c r="M164" s="53"/>
      <c r="O164" s="19"/>
      <c r="P164" s="19"/>
      <c r="Q164" s="19"/>
      <c r="R164" s="19"/>
      <c r="S164" s="19"/>
      <c r="T164" s="19"/>
      <c r="U164" s="25"/>
      <c r="V164" s="6"/>
      <c r="W164" s="6"/>
      <c r="X164" s="6"/>
      <c r="Y164" s="5"/>
      <c r="Z164" s="6"/>
      <c r="AA164" s="5"/>
      <c r="AB164" s="6"/>
      <c r="AC164" s="5"/>
      <c r="AD164" s="6"/>
      <c r="AE164" s="5"/>
      <c r="AF164" s="6"/>
      <c r="AG164" s="5"/>
      <c r="AH164" s="6"/>
      <c r="AI164" s="5"/>
      <c r="AJ164" s="70"/>
    </row>
    <row r="165" spans="1:36" s="14" customFormat="1" ht="15.95" customHeight="1">
      <c r="A165" s="11">
        <v>11.1</v>
      </c>
      <c r="B165" s="64">
        <v>0</v>
      </c>
      <c r="C165" s="14" t="s">
        <v>136</v>
      </c>
      <c r="M165" s="53"/>
      <c r="O165" s="19"/>
      <c r="P165" s="19"/>
      <c r="Q165" s="19"/>
      <c r="R165" s="19"/>
      <c r="S165" s="19"/>
      <c r="T165" s="19"/>
      <c r="U165" s="25"/>
      <c r="V165" s="41"/>
      <c r="W165" s="17"/>
      <c r="X165" s="50"/>
      <c r="Y165" s="15"/>
      <c r="Z165" s="50"/>
      <c r="AA165" s="15"/>
      <c r="AB165" s="50"/>
      <c r="AC165" s="15"/>
      <c r="AD165" s="16"/>
      <c r="AE165" s="15"/>
      <c r="AF165" s="16"/>
      <c r="AG165" s="15"/>
      <c r="AH165" s="16"/>
      <c r="AI165" s="15"/>
      <c r="AJ165" s="70"/>
    </row>
    <row r="166" spans="1:36" s="14" customFormat="1" ht="15.95" customHeight="1">
      <c r="A166" s="11"/>
      <c r="B166" s="47" t="s">
        <v>1</v>
      </c>
      <c r="C166" s="85">
        <f>+IF(DGL_Streue&gt;0,B165/DGL_Streue,0)</f>
        <v>0</v>
      </c>
      <c r="D166" s="14" t="s">
        <v>132</v>
      </c>
      <c r="M166" s="53">
        <f>+IF(C166&gt;AD166,AE166,IF(C166&gt;AB166,AC166,IF(C166&gt;Z166,AA166,IF(C166&gt;=X166,Y166,0))))</f>
        <v>0</v>
      </c>
      <c r="O166" s="238" t="str">
        <f>+X166*100&amp;"–"&amp;Z166*100</f>
        <v>4–8</v>
      </c>
      <c r="P166" s="224" t="str">
        <f>+"&gt;"&amp;Z166*100&amp;"–"&amp;AB166*100</f>
        <v>&gt;8–12</v>
      </c>
      <c r="Q166" s="224" t="str">
        <f>+"&gt;"&amp;AB166*100&amp;"–"&amp;AD166*100</f>
        <v>&gt;12–16</v>
      </c>
      <c r="R166" s="19" t="str">
        <f>+"&gt;"&amp;AD166*100</f>
        <v>&gt;16</v>
      </c>
      <c r="S166" s="19"/>
      <c r="T166" s="19"/>
      <c r="U166" s="25" t="s">
        <v>15</v>
      </c>
      <c r="V166" s="41"/>
      <c r="W166" s="60"/>
      <c r="X166" s="50">
        <v>0.04</v>
      </c>
      <c r="Y166" s="15">
        <v>0.5</v>
      </c>
      <c r="Z166" s="50">
        <v>0.08</v>
      </c>
      <c r="AA166" s="55">
        <v>1</v>
      </c>
      <c r="AB166" s="50">
        <v>0.12</v>
      </c>
      <c r="AC166" s="55">
        <v>1.5</v>
      </c>
      <c r="AD166" s="56">
        <v>0.16</v>
      </c>
      <c r="AE166" s="15">
        <v>2</v>
      </c>
      <c r="AF166" s="56"/>
      <c r="AG166" s="15"/>
      <c r="AH166" s="56"/>
      <c r="AI166" s="15"/>
      <c r="AJ166" s="70"/>
    </row>
    <row r="167" spans="1:36" s="14" customFormat="1" ht="15.95" customHeight="1">
      <c r="A167" s="11">
        <v>11.2</v>
      </c>
      <c r="B167" s="64">
        <v>0</v>
      </c>
      <c r="C167" s="14" t="s">
        <v>135</v>
      </c>
      <c r="M167" s="53"/>
      <c r="O167" s="33"/>
      <c r="P167" s="19"/>
      <c r="Q167" s="19"/>
      <c r="R167" s="19"/>
      <c r="S167" s="19"/>
      <c r="T167" s="19"/>
      <c r="U167" s="25"/>
      <c r="V167" s="41"/>
      <c r="W167" s="17"/>
      <c r="X167" s="50"/>
      <c r="Y167" s="15"/>
      <c r="Z167" s="50"/>
      <c r="AA167" s="15"/>
      <c r="AB167" s="50"/>
      <c r="AC167" s="15"/>
      <c r="AD167" s="56"/>
      <c r="AE167" s="15"/>
      <c r="AF167" s="16"/>
      <c r="AG167" s="15"/>
      <c r="AH167" s="16"/>
      <c r="AI167" s="15"/>
      <c r="AJ167" s="70"/>
    </row>
    <row r="168" spans="1:36" s="14" customFormat="1" ht="15.95" customHeight="1">
      <c r="A168" s="11"/>
      <c r="B168" s="47" t="s">
        <v>1</v>
      </c>
      <c r="C168" s="85">
        <f>+IF(DGL_Streue&gt;0,B167/DGL_Streue,0)</f>
        <v>0</v>
      </c>
      <c r="D168" s="14" t="s">
        <v>132</v>
      </c>
      <c r="M168" s="53">
        <f>+IF(C168&gt;AD168,AE168,IF(C168&gt;AB168,AC168,IF(C168&gt;Z168,AA168,IF(C168&gt;=X168,Y168,0))))</f>
        <v>0</v>
      </c>
      <c r="O168" s="238" t="str">
        <f>+X168*100&amp;"–"&amp;Z168*100</f>
        <v>6–9</v>
      </c>
      <c r="P168" s="224" t="str">
        <f>+"&gt;"&amp;Z168*100&amp;"–"&amp;AB168*100</f>
        <v>&gt;9–12</v>
      </c>
      <c r="Q168" s="224" t="str">
        <f>+"&gt;"&amp;AB168*100&amp;"–"&amp;AD168*100</f>
        <v>&gt;12–15</v>
      </c>
      <c r="R168" s="19" t="str">
        <f>+"&gt;"&amp;AD168*100</f>
        <v>&gt;15</v>
      </c>
      <c r="S168" s="19"/>
      <c r="T168" s="19"/>
      <c r="U168" s="25" t="s">
        <v>15</v>
      </c>
      <c r="V168" s="41"/>
      <c r="W168" s="60"/>
      <c r="X168" s="50">
        <v>0.06</v>
      </c>
      <c r="Y168" s="15">
        <v>0.5</v>
      </c>
      <c r="Z168" s="50">
        <v>0.09</v>
      </c>
      <c r="AA168" s="55">
        <v>1</v>
      </c>
      <c r="AB168" s="50">
        <v>0.12</v>
      </c>
      <c r="AC168" s="55">
        <v>1.5</v>
      </c>
      <c r="AD168" s="56">
        <v>0.15</v>
      </c>
      <c r="AE168" s="15">
        <v>2</v>
      </c>
      <c r="AF168" s="56"/>
      <c r="AG168" s="15"/>
      <c r="AH168" s="16"/>
      <c r="AI168" s="15"/>
      <c r="AJ168" s="70"/>
    </row>
    <row r="169" spans="1:36" s="14" customFormat="1" ht="15.95" customHeight="1">
      <c r="A169" s="11">
        <v>11.3</v>
      </c>
      <c r="B169" s="64">
        <v>0</v>
      </c>
      <c r="C169" s="513" t="s">
        <v>134</v>
      </c>
      <c r="D169" s="513"/>
      <c r="E169" s="513"/>
      <c r="F169" s="513"/>
      <c r="G169" s="513"/>
      <c r="H169" s="513"/>
      <c r="I169" s="513"/>
      <c r="J169" s="513"/>
      <c r="K169" s="513"/>
      <c r="L169" s="513"/>
      <c r="M169" s="513"/>
      <c r="N169" s="513"/>
      <c r="O169" s="33"/>
      <c r="P169" s="19"/>
      <c r="Q169" s="19"/>
      <c r="R169" s="19"/>
      <c r="S169" s="19"/>
      <c r="T169" s="19"/>
      <c r="U169" s="25"/>
      <c r="V169" s="41"/>
      <c r="W169" s="17"/>
      <c r="X169" s="50"/>
      <c r="Y169" s="15"/>
      <c r="Z169" s="50"/>
      <c r="AA169" s="15"/>
      <c r="AB169" s="50"/>
      <c r="AC169" s="15"/>
      <c r="AD169" s="56"/>
      <c r="AE169" s="15"/>
      <c r="AF169" s="16"/>
      <c r="AG169" s="15"/>
      <c r="AH169" s="16"/>
      <c r="AI169" s="15"/>
      <c r="AJ169" s="70"/>
    </row>
    <row r="170" spans="1:36" s="14" customFormat="1" ht="15.95" customHeight="1">
      <c r="A170" s="11"/>
      <c r="B170" s="47" t="s">
        <v>1</v>
      </c>
      <c r="C170" s="85">
        <f>+IF(DGL_Streue&gt;0,B169/DGL_Streue,0)</f>
        <v>0</v>
      </c>
      <c r="D170" s="14" t="s">
        <v>132</v>
      </c>
      <c r="M170" s="53">
        <f>+IF(C170&gt;AD170,AE170,IF(C170&gt;AB170,AC170,IF(C170&gt;Z170,AA170,IF(C170&gt;=X170,Y170,0))))</f>
        <v>0</v>
      </c>
      <c r="O170" s="238" t="str">
        <f>+X170*100&amp;"–"&amp;Z170*100</f>
        <v>1–2</v>
      </c>
      <c r="P170" s="224" t="str">
        <f>+"&gt;"&amp;Z170*100&amp;"–"&amp;AB170*100</f>
        <v>&gt;2–3</v>
      </c>
      <c r="Q170" s="224" t="str">
        <f>+"&gt;"&amp;AB170*100&amp;"–"&amp;AD170*100</f>
        <v>&gt;3–4</v>
      </c>
      <c r="R170" s="19" t="str">
        <f>+"&gt;"&amp;AD170*100</f>
        <v>&gt;4</v>
      </c>
      <c r="S170" s="19"/>
      <c r="T170" s="19"/>
      <c r="U170" s="25" t="s">
        <v>15</v>
      </c>
      <c r="V170" s="41"/>
      <c r="W170" s="60"/>
      <c r="X170" s="50">
        <v>0.01</v>
      </c>
      <c r="Y170" s="15">
        <v>0.5</v>
      </c>
      <c r="Z170" s="50">
        <v>0.02</v>
      </c>
      <c r="AA170" s="55">
        <v>1</v>
      </c>
      <c r="AB170" s="50">
        <v>0.03</v>
      </c>
      <c r="AC170" s="55">
        <v>1.5</v>
      </c>
      <c r="AD170" s="56">
        <v>0.04</v>
      </c>
      <c r="AE170" s="15">
        <v>2</v>
      </c>
      <c r="AF170" s="56"/>
      <c r="AG170" s="15"/>
      <c r="AH170" s="56"/>
      <c r="AI170" s="15"/>
      <c r="AJ170" s="70"/>
    </row>
    <row r="171" spans="1:36" s="14" customFormat="1" ht="15.95" customHeight="1">
      <c r="A171" s="11">
        <v>11.4</v>
      </c>
      <c r="B171" s="64">
        <v>0</v>
      </c>
      <c r="C171" s="14" t="s">
        <v>133</v>
      </c>
      <c r="M171" s="53"/>
      <c r="O171" s="19"/>
      <c r="P171" s="19"/>
      <c r="Q171" s="19"/>
      <c r="R171" s="19"/>
      <c r="S171" s="19"/>
      <c r="T171" s="19"/>
      <c r="U171" s="25"/>
      <c r="V171" s="41"/>
      <c r="W171" s="17"/>
      <c r="X171" s="50"/>
      <c r="Y171" s="15"/>
      <c r="Z171" s="50"/>
      <c r="AA171" s="15"/>
      <c r="AB171" s="50"/>
      <c r="AC171" s="15"/>
      <c r="AD171" s="56"/>
      <c r="AE171" s="15"/>
      <c r="AF171" s="16"/>
      <c r="AG171" s="15"/>
      <c r="AH171" s="16"/>
      <c r="AI171" s="15"/>
      <c r="AJ171" s="70"/>
    </row>
    <row r="172" spans="1:36" s="14" customFormat="1" ht="15.95" customHeight="1">
      <c r="A172" s="11"/>
      <c r="B172" s="47" t="s">
        <v>1</v>
      </c>
      <c r="C172" s="85">
        <f>+IF(DGL_Streue&gt;0,B171/DGL_Streue,0)</f>
        <v>0</v>
      </c>
      <c r="D172" s="14" t="s">
        <v>132</v>
      </c>
      <c r="M172" s="53">
        <f>+IF(C172&gt;AD172,AE172,IF(C172&gt;AB172,AC172,IF(C172&gt;Z172,AA172,IF(C172&gt;=X172,Y172,0))))</f>
        <v>0</v>
      </c>
      <c r="O172" s="238" t="str">
        <f>+X172*100&amp;"–"&amp;Z172*100</f>
        <v>1–2</v>
      </c>
      <c r="P172" s="224" t="str">
        <f>+"&gt;"&amp;Z172*100&amp;"–"&amp;AB172*100</f>
        <v>&gt;2–3</v>
      </c>
      <c r="Q172" s="224" t="str">
        <f>+"&gt;"&amp;AB172*100&amp;"–"&amp;AD172*100</f>
        <v>&gt;3–4</v>
      </c>
      <c r="R172" s="19" t="str">
        <f>+"&gt;"&amp;AD172*100</f>
        <v>&gt;4</v>
      </c>
      <c r="S172" s="19"/>
      <c r="T172" s="19"/>
      <c r="U172" s="25" t="s">
        <v>15</v>
      </c>
      <c r="V172" s="41"/>
      <c r="W172" s="60"/>
      <c r="X172" s="50">
        <v>0.01</v>
      </c>
      <c r="Y172" s="15">
        <v>0.5</v>
      </c>
      <c r="Z172" s="50">
        <v>0.02</v>
      </c>
      <c r="AA172" s="55">
        <v>1</v>
      </c>
      <c r="AB172" s="50">
        <v>0.03</v>
      </c>
      <c r="AC172" s="55">
        <v>1.5</v>
      </c>
      <c r="AD172" s="56">
        <v>0.04</v>
      </c>
      <c r="AE172" s="15">
        <v>2</v>
      </c>
      <c r="AF172" s="16"/>
      <c r="AG172" s="15"/>
      <c r="AH172" s="16"/>
      <c r="AI172" s="15"/>
      <c r="AJ172" s="70"/>
    </row>
    <row r="173" spans="1:36" ht="6.6" customHeight="1">
      <c r="D173" s="13"/>
      <c r="E173" s="13"/>
      <c r="F173" s="13"/>
      <c r="G173" s="13"/>
      <c r="H173" s="13"/>
      <c r="N173" s="4"/>
      <c r="O173" s="19"/>
      <c r="P173" s="19"/>
      <c r="Q173" s="19"/>
      <c r="R173" s="19"/>
      <c r="S173" s="19"/>
      <c r="T173" s="19"/>
      <c r="U173" s="18"/>
    </row>
    <row r="174" spans="1:36" s="14" customFormat="1" ht="15.95" customHeight="1">
      <c r="A174" s="11">
        <v>12</v>
      </c>
      <c r="B174" s="32" t="s">
        <v>131</v>
      </c>
      <c r="E174" s="32"/>
      <c r="F174" s="32"/>
      <c r="G174" s="32"/>
      <c r="H174" s="32"/>
      <c r="M174" s="53"/>
      <c r="O174" s="19"/>
      <c r="P174" s="19"/>
      <c r="Q174" s="19"/>
      <c r="R174" s="19"/>
      <c r="S174" s="19"/>
      <c r="T174" s="19"/>
      <c r="U174" s="25"/>
      <c r="V174" s="41"/>
      <c r="W174" s="17"/>
      <c r="X174" s="50"/>
      <c r="Y174" s="15"/>
      <c r="Z174" s="50"/>
      <c r="AA174" s="15"/>
      <c r="AB174" s="50"/>
      <c r="AC174" s="15"/>
      <c r="AD174" s="56"/>
      <c r="AE174" s="15"/>
      <c r="AF174" s="16"/>
      <c r="AG174" s="15"/>
      <c r="AH174" s="16"/>
      <c r="AI174" s="15"/>
      <c r="AJ174" s="70"/>
    </row>
    <row r="175" spans="1:36" s="14" customFormat="1" ht="15.95" customHeight="1">
      <c r="A175" s="11">
        <v>12.1</v>
      </c>
      <c r="B175" s="76">
        <f>+DGL-(G58-G59-Streuefläche)</f>
        <v>0</v>
      </c>
      <c r="C175" s="14" t="s">
        <v>130</v>
      </c>
      <c r="E175" s="32"/>
      <c r="F175" s="32"/>
      <c r="G175" s="32"/>
      <c r="H175" s="32"/>
      <c r="M175" s="53"/>
      <c r="O175" s="19"/>
      <c r="P175" s="19"/>
      <c r="Q175" s="19"/>
      <c r="R175" s="19"/>
      <c r="S175" s="19"/>
      <c r="T175" s="19"/>
      <c r="U175" s="25"/>
      <c r="V175" s="41"/>
      <c r="W175" s="17"/>
      <c r="X175" s="50"/>
      <c r="Y175" s="15"/>
      <c r="Z175" s="50"/>
      <c r="AA175" s="15"/>
      <c r="AB175" s="50"/>
      <c r="AC175" s="15"/>
      <c r="AD175" s="56"/>
      <c r="AE175" s="15"/>
      <c r="AF175" s="16"/>
      <c r="AG175" s="15"/>
      <c r="AH175" s="16"/>
      <c r="AI175" s="15"/>
      <c r="AJ175" s="70"/>
    </row>
    <row r="176" spans="1:36" s="14" customFormat="1" ht="15.95" customHeight="1">
      <c r="A176" s="65" t="s">
        <v>16</v>
      </c>
      <c r="B176" s="64">
        <v>0</v>
      </c>
      <c r="C176" s="14" t="s">
        <v>129</v>
      </c>
      <c r="E176" s="32"/>
      <c r="F176" s="32"/>
      <c r="G176" s="32"/>
      <c r="H176" s="32"/>
      <c r="M176" s="53"/>
      <c r="O176" s="19"/>
      <c r="P176" s="19"/>
      <c r="Q176" s="19"/>
      <c r="R176" s="19"/>
      <c r="S176" s="19"/>
      <c r="T176" s="19"/>
      <c r="U176" s="25"/>
      <c r="V176" s="41"/>
      <c r="W176" s="17"/>
      <c r="X176" s="50"/>
      <c r="Y176" s="15"/>
      <c r="Z176" s="50"/>
      <c r="AA176" s="15"/>
      <c r="AB176" s="50"/>
      <c r="AC176" s="15"/>
      <c r="AD176" s="56"/>
      <c r="AE176" s="15"/>
      <c r="AF176" s="16"/>
      <c r="AG176" s="15"/>
      <c r="AH176" s="16"/>
      <c r="AI176" s="15"/>
      <c r="AJ176" s="70"/>
    </row>
    <row r="177" spans="1:36" s="14" customFormat="1" ht="15.95" customHeight="1">
      <c r="A177" s="11"/>
      <c r="B177" s="47" t="s">
        <v>1</v>
      </c>
      <c r="C177" s="85">
        <f>+IF(B175&gt;0,B176/B175,0)</f>
        <v>0</v>
      </c>
      <c r="D177" s="14" t="s">
        <v>126</v>
      </c>
      <c r="M177" s="53">
        <f>++IF(C177&gt;AD177,AE177,IF(C177&gt;AB177,AC177,IF(C177&gt;Z177,AA177,IF(C177&gt;=X177,Y177,))))</f>
        <v>0</v>
      </c>
      <c r="O177" s="238" t="str">
        <f>+X177*100&amp;"–"&amp;Z177*100</f>
        <v>30–40</v>
      </c>
      <c r="P177" s="224" t="str">
        <f>+"&gt;"&amp;Z177*100&amp;"–"&amp;AB177*100</f>
        <v>&gt;40–50</v>
      </c>
      <c r="Q177" s="224" t="str">
        <f>+"&gt;"&amp;AB177*100&amp;"–"&amp;AD177*100</f>
        <v>&gt;50–60</v>
      </c>
      <c r="R177" s="19" t="str">
        <f>+"&gt;"&amp;AD177*100</f>
        <v>&gt;60</v>
      </c>
      <c r="S177" s="19"/>
      <c r="T177" s="19"/>
      <c r="U177" s="25" t="s">
        <v>15</v>
      </c>
      <c r="V177" s="41"/>
      <c r="W177" s="17"/>
      <c r="X177" s="50">
        <v>0.3</v>
      </c>
      <c r="Y177" s="15">
        <v>0.5</v>
      </c>
      <c r="Z177" s="50">
        <v>0.4</v>
      </c>
      <c r="AA177" s="15">
        <v>1</v>
      </c>
      <c r="AB177" s="50">
        <v>0.5</v>
      </c>
      <c r="AC177" s="15">
        <v>1.5</v>
      </c>
      <c r="AD177" s="50">
        <v>0.6</v>
      </c>
      <c r="AE177" s="15">
        <v>2</v>
      </c>
      <c r="AF177" s="16"/>
      <c r="AG177" s="15"/>
      <c r="AH177" s="16"/>
      <c r="AI177" s="15"/>
      <c r="AJ177" s="70"/>
    </row>
    <row r="178" spans="1:36" s="14" customFormat="1" ht="15.95" customHeight="1">
      <c r="A178" s="65" t="s">
        <v>17</v>
      </c>
      <c r="B178" s="64">
        <v>0</v>
      </c>
      <c r="C178" s="14" t="s">
        <v>128</v>
      </c>
      <c r="D178" s="52"/>
      <c r="M178" s="53"/>
      <c r="O178" s="33"/>
      <c r="P178" s="19"/>
      <c r="Q178" s="19"/>
      <c r="R178" s="19"/>
      <c r="S178" s="19"/>
      <c r="T178" s="19"/>
      <c r="U178" s="25"/>
      <c r="V178" s="41"/>
      <c r="W178" s="17"/>
      <c r="X178" s="50"/>
      <c r="Y178" s="15"/>
      <c r="Z178" s="50"/>
      <c r="AA178" s="15"/>
      <c r="AB178" s="50"/>
      <c r="AC178" s="15"/>
      <c r="AD178" s="50"/>
      <c r="AE178" s="15"/>
      <c r="AF178" s="16"/>
      <c r="AG178" s="15"/>
      <c r="AH178" s="16"/>
      <c r="AI178" s="15"/>
      <c r="AJ178" s="70"/>
    </row>
    <row r="179" spans="1:36" s="14" customFormat="1" ht="15.95" customHeight="1">
      <c r="A179" s="11"/>
      <c r="B179" s="47" t="s">
        <v>1</v>
      </c>
      <c r="C179" s="85">
        <f>+IF(B175&gt;0,B178/B175,0)</f>
        <v>0</v>
      </c>
      <c r="D179" s="14" t="s">
        <v>126</v>
      </c>
      <c r="M179" s="53">
        <f>++IF(C179&gt;AD179,AE179,IF(C179&gt;AB179,AC179,IF(C179&gt;Z179,AA179,IF(C179&gt;=X179,Y179,))))</f>
        <v>0</v>
      </c>
      <c r="O179" s="238" t="str">
        <f>+X179*100&amp;"–"&amp;Z179*100</f>
        <v>30–40</v>
      </c>
      <c r="P179" s="224" t="str">
        <f>+"&gt;"&amp;Z179*100&amp;"–"&amp;AB179*100</f>
        <v>&gt;40–50</v>
      </c>
      <c r="Q179" s="224" t="str">
        <f>+"&gt;"&amp;AB179*100&amp;"–"&amp;AD179*100</f>
        <v>&gt;50–60</v>
      </c>
      <c r="R179" s="19" t="str">
        <f>+"&gt;"&amp;AD179*100</f>
        <v>&gt;60</v>
      </c>
      <c r="S179" s="19"/>
      <c r="T179" s="19"/>
      <c r="U179" s="25" t="s">
        <v>15</v>
      </c>
      <c r="V179" s="41"/>
      <c r="W179" s="17"/>
      <c r="X179" s="50">
        <v>0.3</v>
      </c>
      <c r="Y179" s="15">
        <v>0.5</v>
      </c>
      <c r="Z179" s="50">
        <v>0.4</v>
      </c>
      <c r="AA179" s="15">
        <v>1</v>
      </c>
      <c r="AB179" s="50">
        <v>0.5</v>
      </c>
      <c r="AC179" s="15">
        <v>1.5</v>
      </c>
      <c r="AD179" s="50">
        <v>0.6</v>
      </c>
      <c r="AE179" s="15">
        <v>2</v>
      </c>
      <c r="AF179" s="16"/>
      <c r="AG179" s="15"/>
      <c r="AH179" s="16"/>
      <c r="AI179" s="15"/>
      <c r="AJ179" s="70"/>
    </row>
    <row r="180" spans="1:36" s="14" customFormat="1" ht="15.95" customHeight="1">
      <c r="A180" s="65" t="s">
        <v>54</v>
      </c>
      <c r="B180" s="64">
        <v>0</v>
      </c>
      <c r="C180" s="500" t="s">
        <v>127</v>
      </c>
      <c r="D180" s="500"/>
      <c r="E180" s="500"/>
      <c r="F180" s="500"/>
      <c r="G180" s="500"/>
      <c r="H180" s="500"/>
      <c r="I180" s="500"/>
      <c r="J180" s="500"/>
      <c r="K180" s="500"/>
      <c r="M180" s="53"/>
      <c r="O180" s="33"/>
      <c r="P180" s="19"/>
      <c r="Q180" s="19"/>
      <c r="R180" s="19"/>
      <c r="S180" s="19"/>
      <c r="T180" s="19"/>
      <c r="U180" s="25"/>
      <c r="V180" s="41"/>
      <c r="W180" s="17"/>
      <c r="X180" s="50"/>
      <c r="Y180" s="15"/>
      <c r="Z180" s="50"/>
      <c r="AA180" s="15"/>
      <c r="AB180" s="50"/>
      <c r="AC180" s="15"/>
      <c r="AD180" s="50"/>
      <c r="AE180" s="15"/>
      <c r="AF180" s="16"/>
      <c r="AG180" s="15"/>
      <c r="AH180" s="16"/>
      <c r="AI180" s="15"/>
      <c r="AJ180" s="70"/>
    </row>
    <row r="181" spans="1:36" s="14" customFormat="1" ht="15.95" customHeight="1">
      <c r="A181" s="11"/>
      <c r="B181" s="47" t="s">
        <v>1</v>
      </c>
      <c r="C181" s="85">
        <f>+IF(B175&gt;0,B180/B175,0)</f>
        <v>0</v>
      </c>
      <c r="D181" s="14" t="s">
        <v>126</v>
      </c>
      <c r="M181" s="53">
        <f>++IF(C181&gt;AD181,AE181,IF(C181&gt;AB181,AC181,IF(C181&gt;Z181,AA181,IF(C181&gt;=X181,Y181,))))</f>
        <v>0</v>
      </c>
      <c r="O181" s="238" t="str">
        <f>+X181*100&amp;"–"&amp;Z181*100</f>
        <v>12–18</v>
      </c>
      <c r="P181" s="224" t="str">
        <f>+"&gt;"&amp;Z181*100&amp;"–"&amp;AB181*100</f>
        <v>&gt;18–24</v>
      </c>
      <c r="Q181" s="224" t="str">
        <f>+"&gt;"&amp;AB181*100&amp;"–"&amp;AD181*100</f>
        <v>&gt;24–30</v>
      </c>
      <c r="R181" s="19" t="str">
        <f>+"&gt;"&amp;AD181*100</f>
        <v>&gt;30</v>
      </c>
      <c r="S181" s="19"/>
      <c r="T181" s="19"/>
      <c r="U181" s="25" t="s">
        <v>15</v>
      </c>
      <c r="V181" s="41"/>
      <c r="W181" s="17"/>
      <c r="X181" s="50">
        <v>0.12</v>
      </c>
      <c r="Y181" s="15">
        <v>0.5</v>
      </c>
      <c r="Z181" s="50">
        <v>0.18</v>
      </c>
      <c r="AA181" s="15">
        <v>1</v>
      </c>
      <c r="AB181" s="50">
        <v>0.24</v>
      </c>
      <c r="AC181" s="15">
        <v>1.5</v>
      </c>
      <c r="AD181" s="50">
        <v>0.3</v>
      </c>
      <c r="AE181" s="15">
        <v>2</v>
      </c>
      <c r="AF181" s="16"/>
      <c r="AG181" s="15"/>
      <c r="AH181" s="16"/>
      <c r="AI181" s="15"/>
      <c r="AJ181" s="70"/>
    </row>
    <row r="182" spans="1:36" s="14" customFormat="1" hidden="1">
      <c r="A182" s="11">
        <v>12.3</v>
      </c>
      <c r="B182" s="138">
        <v>0</v>
      </c>
      <c r="C182" s="14" t="s">
        <v>19</v>
      </c>
      <c r="M182" s="73"/>
      <c r="O182" s="19"/>
      <c r="P182" s="33"/>
      <c r="Q182" s="19"/>
      <c r="R182" s="19"/>
      <c r="S182" s="19"/>
      <c r="T182" s="19"/>
      <c r="U182" s="25"/>
      <c r="V182" s="62"/>
      <c r="W182" s="61"/>
      <c r="X182" s="56"/>
      <c r="Y182" s="15"/>
      <c r="Z182" s="56"/>
      <c r="AA182" s="15"/>
      <c r="AB182" s="56"/>
      <c r="AC182" s="15"/>
      <c r="AD182" s="56"/>
      <c r="AE182" s="15"/>
      <c r="AF182" s="16"/>
      <c r="AG182" s="15"/>
      <c r="AH182" s="16"/>
      <c r="AI182" s="15"/>
      <c r="AJ182" s="70"/>
    </row>
    <row r="183" spans="1:36" s="14" customFormat="1" hidden="1">
      <c r="A183" s="11"/>
      <c r="B183" s="4"/>
      <c r="C183" s="47" t="s">
        <v>1</v>
      </c>
      <c r="D183" s="52">
        <f>+IF(B175&gt;0,B182/B175,0)</f>
        <v>0</v>
      </c>
      <c r="E183" s="14" t="s">
        <v>18</v>
      </c>
      <c r="M183" s="53">
        <f>+IF(D183=1,0.5,0)</f>
        <v>0</v>
      </c>
      <c r="O183" s="33">
        <v>100</v>
      </c>
      <c r="P183" s="19"/>
      <c r="Q183" s="19"/>
      <c r="R183" s="19"/>
      <c r="S183" s="19"/>
      <c r="T183" s="19"/>
      <c r="U183" s="25" t="s">
        <v>15</v>
      </c>
      <c r="V183" s="41"/>
      <c r="W183" s="60"/>
      <c r="X183" s="56"/>
      <c r="Y183" s="15"/>
      <c r="Z183" s="56"/>
      <c r="AA183" s="55"/>
      <c r="AB183" s="56"/>
      <c r="AC183" s="55"/>
      <c r="AD183" s="56"/>
      <c r="AE183" s="55"/>
      <c r="AF183" s="59"/>
      <c r="AG183" s="55"/>
      <c r="AH183" s="59"/>
      <c r="AI183" s="55"/>
      <c r="AJ183" s="70"/>
    </row>
    <row r="184" spans="1:36" ht="6.6" customHeight="1">
      <c r="D184" s="13"/>
      <c r="E184" s="13"/>
      <c r="F184" s="13"/>
      <c r="G184" s="13"/>
      <c r="H184" s="13"/>
      <c r="N184" s="4"/>
      <c r="O184" s="19"/>
      <c r="P184" s="19"/>
      <c r="Q184" s="19"/>
      <c r="R184" s="19"/>
      <c r="S184" s="19"/>
      <c r="T184" s="19"/>
      <c r="U184" s="18"/>
    </row>
    <row r="185" spans="1:36" s="14" customFormat="1" ht="15.95" customHeight="1">
      <c r="A185" s="11"/>
      <c r="B185" s="13" t="s">
        <v>125</v>
      </c>
      <c r="C185" s="47"/>
      <c r="D185" s="52"/>
      <c r="M185" s="53">
        <f>SUM(M162:M184)</f>
        <v>0</v>
      </c>
      <c r="O185" s="33"/>
      <c r="P185" s="19"/>
      <c r="Q185" s="19"/>
      <c r="R185" s="19"/>
      <c r="S185" s="19"/>
      <c r="T185" s="19"/>
      <c r="U185" s="57"/>
      <c r="V185" s="41"/>
      <c r="W185" s="17"/>
      <c r="X185" s="56"/>
      <c r="Y185" s="15"/>
      <c r="Z185" s="56"/>
      <c r="AA185" s="55"/>
      <c r="AB185" s="56"/>
      <c r="AC185" s="55"/>
      <c r="AD185" s="56"/>
      <c r="AE185" s="55"/>
      <c r="AF185" s="16"/>
      <c r="AG185" s="15"/>
      <c r="AH185" s="16"/>
      <c r="AI185" s="15"/>
      <c r="AJ185" s="70"/>
    </row>
    <row r="186" spans="1:36" s="14" customFormat="1" ht="15.95" customHeight="1">
      <c r="A186" s="11"/>
      <c r="B186" s="4" t="s">
        <v>124</v>
      </c>
      <c r="C186" s="47"/>
      <c r="G186" s="52">
        <f>+(DGL_Streue+B16)/LN</f>
        <v>0</v>
      </c>
      <c r="M186" s="53"/>
      <c r="O186" s="19"/>
      <c r="P186" s="19"/>
      <c r="Q186" s="19"/>
      <c r="R186" s="19"/>
      <c r="S186" s="19"/>
      <c r="T186" s="19"/>
      <c r="U186" s="25"/>
      <c r="V186" s="41"/>
      <c r="W186" s="17"/>
      <c r="X186" s="50"/>
      <c r="Y186" s="15"/>
      <c r="Z186" s="50"/>
      <c r="AA186" s="15"/>
      <c r="AB186" s="50"/>
      <c r="AC186" s="15"/>
      <c r="AD186" s="16"/>
      <c r="AE186" s="15"/>
      <c r="AF186" s="16"/>
      <c r="AG186" s="15"/>
      <c r="AH186" s="16"/>
      <c r="AI186" s="15"/>
      <c r="AJ186" s="70"/>
    </row>
    <row r="187" spans="1:36" ht="6.6" customHeight="1">
      <c r="D187" s="13"/>
      <c r="E187" s="13"/>
      <c r="F187" s="13"/>
      <c r="G187" s="13"/>
      <c r="H187" s="13"/>
      <c r="N187" s="4"/>
      <c r="O187" s="19"/>
      <c r="P187" s="19"/>
      <c r="Q187" s="19"/>
      <c r="R187" s="19"/>
      <c r="S187" s="19"/>
      <c r="T187" s="19"/>
      <c r="U187" s="18"/>
    </row>
    <row r="188" spans="1:36" s="20" customFormat="1" ht="15.95" customHeight="1">
      <c r="A188" s="24" t="s">
        <v>123</v>
      </c>
      <c r="C188" s="24"/>
      <c r="K188" s="67"/>
      <c r="L188" s="67"/>
      <c r="N188" s="23">
        <f>+M185*G186</f>
        <v>0</v>
      </c>
      <c r="O188" s="22"/>
      <c r="P188" s="22"/>
      <c r="Q188" s="22"/>
      <c r="R188" s="22"/>
      <c r="S188" s="22"/>
      <c r="T188" s="22"/>
      <c r="U188" s="137"/>
      <c r="V188" s="6"/>
      <c r="W188" s="6"/>
      <c r="X188" s="6"/>
      <c r="Y188" s="5"/>
      <c r="Z188" s="6"/>
      <c r="AA188" s="5"/>
      <c r="AB188" s="6"/>
      <c r="AC188" s="5"/>
      <c r="AD188" s="6"/>
      <c r="AE188" s="5"/>
      <c r="AF188" s="6"/>
      <c r="AG188" s="5"/>
      <c r="AH188" s="6"/>
      <c r="AI188" s="5"/>
      <c r="AJ188" s="136"/>
    </row>
    <row r="189" spans="1:36" ht="6" customHeight="1">
      <c r="D189" s="13"/>
      <c r="E189" s="13"/>
      <c r="F189" s="13"/>
      <c r="G189" s="13"/>
      <c r="H189" s="13"/>
      <c r="N189" s="4"/>
      <c r="O189" s="19"/>
      <c r="P189" s="19"/>
      <c r="Q189" s="19"/>
      <c r="R189" s="19"/>
      <c r="S189" s="19"/>
      <c r="T189" s="19"/>
      <c r="U189" s="18"/>
    </row>
    <row r="190" spans="1:36" s="20" customFormat="1" ht="15.95" customHeight="1">
      <c r="A190" s="24" t="s">
        <v>122</v>
      </c>
      <c r="C190" s="24"/>
      <c r="K190" s="67"/>
      <c r="L190" s="67"/>
      <c r="M190" s="54" t="s">
        <v>121</v>
      </c>
      <c r="N190" s="54" t="s">
        <v>27</v>
      </c>
      <c r="O190" s="22" t="s">
        <v>120</v>
      </c>
      <c r="P190" s="22" t="s">
        <v>119</v>
      </c>
      <c r="Q190" s="22" t="s">
        <v>118</v>
      </c>
      <c r="R190" s="22" t="s">
        <v>117</v>
      </c>
      <c r="S190" s="22"/>
      <c r="T190" s="22"/>
      <c r="U190" s="22" t="s">
        <v>116</v>
      </c>
      <c r="V190" s="66"/>
      <c r="W190" s="66"/>
      <c r="AJ190" s="136"/>
    </row>
    <row r="191" spans="1:36" ht="6" customHeight="1">
      <c r="D191" s="13"/>
      <c r="E191" s="13"/>
      <c r="F191" s="13"/>
      <c r="G191" s="13"/>
      <c r="H191" s="13"/>
      <c r="N191" s="4"/>
      <c r="O191" s="19"/>
      <c r="P191" s="19"/>
      <c r="Q191" s="19"/>
      <c r="R191" s="19"/>
      <c r="S191" s="19"/>
      <c r="T191" s="19"/>
      <c r="U191" s="18"/>
    </row>
    <row r="192" spans="1:36" s="14" customFormat="1" ht="15.95" customHeight="1" outlineLevel="1">
      <c r="A192" s="11" t="s">
        <v>491</v>
      </c>
      <c r="B192" s="32" t="s">
        <v>488</v>
      </c>
      <c r="D192" s="43"/>
      <c r="M192" s="53"/>
      <c r="N192" s="8"/>
      <c r="O192" s="33"/>
      <c r="P192" s="19"/>
      <c r="Q192" s="19"/>
      <c r="R192" s="19"/>
      <c r="S192" s="19"/>
      <c r="T192" s="19"/>
      <c r="U192" s="25"/>
      <c r="V192" s="41"/>
      <c r="W192" s="17"/>
      <c r="X192" s="44"/>
      <c r="Y192" s="15"/>
      <c r="Z192" s="44"/>
      <c r="AA192" s="15"/>
      <c r="AB192" s="44"/>
      <c r="AC192" s="45"/>
      <c r="AD192" s="44"/>
      <c r="AE192" s="15"/>
      <c r="AF192" s="40"/>
      <c r="AG192" s="39"/>
      <c r="AH192" s="40"/>
      <c r="AI192" s="39"/>
      <c r="AJ192" s="70"/>
    </row>
    <row r="193" spans="1:36" s="14" customFormat="1" ht="15.95" customHeight="1" outlineLevel="1">
      <c r="A193" s="11"/>
      <c r="B193" s="2">
        <v>0</v>
      </c>
      <c r="C193" s="14" t="s">
        <v>487</v>
      </c>
      <c r="D193" s="43"/>
      <c r="M193" s="53"/>
      <c r="N193" s="8"/>
      <c r="O193" s="33"/>
      <c r="P193" s="19"/>
      <c r="Q193" s="19"/>
      <c r="R193" s="19"/>
      <c r="S193" s="19"/>
      <c r="T193" s="19"/>
      <c r="U193" s="25"/>
      <c r="V193" s="41"/>
      <c r="W193" s="17"/>
      <c r="X193" s="44"/>
      <c r="Y193" s="15"/>
      <c r="Z193" s="44"/>
      <c r="AA193" s="15"/>
      <c r="AB193" s="44"/>
      <c r="AC193" s="45"/>
      <c r="AD193" s="44"/>
      <c r="AE193" s="15"/>
      <c r="AF193" s="40"/>
      <c r="AG193" s="39"/>
      <c r="AH193" s="40"/>
      <c r="AI193" s="39"/>
      <c r="AJ193" s="70"/>
    </row>
    <row r="194" spans="1:36" s="14" customFormat="1" ht="15.95" customHeight="1" outlineLevel="1">
      <c r="A194" s="11"/>
      <c r="B194" s="47" t="s">
        <v>1</v>
      </c>
      <c r="C194" s="85">
        <f>+B193/B$13</f>
        <v>0</v>
      </c>
      <c r="D194" s="14" t="s">
        <v>2</v>
      </c>
      <c r="I194" s="51"/>
      <c r="M194" s="53">
        <f>+IF(C194&gt;AD194,AE194,IF(C194&gt;AB194,AC194,IF(C194&gt;Z194,AA194,IF(C194&gt;=X194,Y194,0))))</f>
        <v>0</v>
      </c>
      <c r="N194" s="8"/>
      <c r="O194" s="238" t="str">
        <f>+X194*100&amp;"–"&amp;Z194*100</f>
        <v>2–3</v>
      </c>
      <c r="P194" s="224" t="str">
        <f>+"&gt;"&amp;Z194*100&amp;"–"&amp;AB194*100</f>
        <v>&gt;3–4</v>
      </c>
      <c r="Q194" s="224" t="str">
        <f>+"&gt;"&amp;AB194*100&amp;"–"&amp;AD194*100</f>
        <v>&gt;4–5</v>
      </c>
      <c r="R194" s="19" t="str">
        <f>+"&gt;"&amp;AD194*100</f>
        <v>&gt;5</v>
      </c>
      <c r="S194" s="19"/>
      <c r="T194" s="19"/>
      <c r="U194" s="25" t="s">
        <v>15</v>
      </c>
      <c r="V194" s="41"/>
      <c r="W194" s="17"/>
      <c r="X194" s="50">
        <v>0.02</v>
      </c>
      <c r="Y194" s="15">
        <v>0.5</v>
      </c>
      <c r="Z194" s="50">
        <v>0.03</v>
      </c>
      <c r="AA194" s="15">
        <v>1</v>
      </c>
      <c r="AB194" s="50">
        <v>0.04</v>
      </c>
      <c r="AC194" s="15">
        <v>1.5</v>
      </c>
      <c r="AD194" s="50">
        <v>0.05</v>
      </c>
      <c r="AE194" s="15">
        <v>2</v>
      </c>
      <c r="AF194" s="16"/>
      <c r="AG194" s="15"/>
      <c r="AH194" s="16"/>
      <c r="AI194" s="15"/>
      <c r="AJ194" s="70"/>
    </row>
    <row r="195" spans="1:36" s="14" customFormat="1" ht="6" customHeight="1" outlineLevel="1">
      <c r="A195" s="11"/>
      <c r="B195" s="47"/>
      <c r="C195" s="85"/>
      <c r="I195" s="51"/>
      <c r="M195" s="53"/>
      <c r="N195" s="8"/>
      <c r="O195" s="33"/>
      <c r="P195" s="19"/>
      <c r="Q195" s="19"/>
      <c r="R195" s="19"/>
      <c r="S195" s="19"/>
      <c r="T195" s="19"/>
      <c r="U195" s="25"/>
      <c r="V195" s="41"/>
      <c r="W195" s="17"/>
      <c r="X195" s="50"/>
      <c r="Y195" s="15"/>
      <c r="Z195" s="50"/>
      <c r="AA195" s="15"/>
      <c r="AB195" s="50"/>
      <c r="AC195" s="15"/>
      <c r="AD195" s="50"/>
      <c r="AE195" s="15"/>
      <c r="AF195" s="16"/>
      <c r="AG195" s="15"/>
      <c r="AH195" s="16"/>
      <c r="AI195" s="15"/>
      <c r="AJ195" s="70"/>
    </row>
    <row r="196" spans="1:36" s="14" customFormat="1" ht="15.95" customHeight="1" outlineLevel="1">
      <c r="A196" s="11">
        <v>13</v>
      </c>
      <c r="B196" s="32" t="s">
        <v>115</v>
      </c>
      <c r="C196" s="47"/>
      <c r="D196" s="43"/>
      <c r="M196" s="53"/>
      <c r="N196" s="8"/>
      <c r="O196" s="33"/>
      <c r="P196" s="19"/>
      <c r="Q196" s="19"/>
      <c r="R196" s="19"/>
      <c r="S196" s="19"/>
      <c r="T196" s="19"/>
      <c r="U196" s="25"/>
      <c r="V196" s="41"/>
      <c r="W196" s="17"/>
      <c r="X196" s="40"/>
      <c r="Y196" s="39"/>
      <c r="Z196" s="40"/>
      <c r="AA196" s="39"/>
      <c r="AB196" s="40"/>
      <c r="AC196" s="45"/>
      <c r="AD196" s="40"/>
      <c r="AE196" s="39"/>
      <c r="AF196" s="40"/>
      <c r="AG196" s="39"/>
      <c r="AH196" s="40"/>
      <c r="AI196" s="39"/>
      <c r="AJ196" s="70"/>
    </row>
    <row r="197" spans="1:36" s="14" customFormat="1" ht="15.95" customHeight="1" outlineLevel="1">
      <c r="A197" s="11">
        <v>13.1</v>
      </c>
      <c r="B197" s="500" t="s">
        <v>114</v>
      </c>
      <c r="C197" s="500"/>
      <c r="D197" s="500"/>
      <c r="E197" s="500"/>
      <c r="I197" s="49" t="s">
        <v>113</v>
      </c>
      <c r="K197" s="14">
        <f>SUM(G199:G202,K199:K202)</f>
        <v>0</v>
      </c>
      <c r="M197" s="53">
        <f>IF(K197&gt;AD197,AE197,IF(K197&gt;AB197,AC197,IF(K197&gt;Z197,AA197,IF(K197&gt;=X197,Y197,))))</f>
        <v>0</v>
      </c>
      <c r="N197" s="8"/>
      <c r="O197" s="267" t="str">
        <f>+X197&amp;"–"&amp;Z197</f>
        <v>100–200</v>
      </c>
      <c r="P197" s="264" t="str">
        <f>+"&gt;"&amp;Z197&amp;"–"&amp;AB197</f>
        <v>&gt;200–300</v>
      </c>
      <c r="Q197" s="264" t="str">
        <f>+"&gt;"&amp;AB197&amp;"-"&amp;AD197</f>
        <v>&gt;300-400</v>
      </c>
      <c r="R197" s="19" t="str">
        <f>+"&gt;"&amp;AD197</f>
        <v>&gt;400</v>
      </c>
      <c r="S197" s="19"/>
      <c r="T197" s="19"/>
      <c r="U197" s="25" t="s">
        <v>5</v>
      </c>
      <c r="V197" s="41"/>
      <c r="W197" s="17"/>
      <c r="X197" s="44">
        <v>100</v>
      </c>
      <c r="Y197" s="15">
        <v>0.5</v>
      </c>
      <c r="Z197" s="44">
        <v>200</v>
      </c>
      <c r="AA197" s="15">
        <v>1</v>
      </c>
      <c r="AB197" s="44">
        <v>300</v>
      </c>
      <c r="AC197" s="45">
        <v>1.5</v>
      </c>
      <c r="AD197" s="44">
        <v>400</v>
      </c>
      <c r="AE197" s="15">
        <v>2</v>
      </c>
      <c r="AF197" s="40"/>
      <c r="AG197" s="39"/>
      <c r="AH197" s="40"/>
      <c r="AI197" s="39"/>
      <c r="AJ197" s="70"/>
    </row>
    <row r="198" spans="1:36" s="14" customFormat="1" ht="15.95" customHeight="1" outlineLevel="1">
      <c r="A198" s="11"/>
      <c r="B198" s="43"/>
      <c r="D198" s="43"/>
      <c r="E198" s="14" t="s">
        <v>112</v>
      </c>
      <c r="G198" s="14" t="s">
        <v>111</v>
      </c>
      <c r="I198" s="14" t="s">
        <v>112</v>
      </c>
      <c r="J198" s="43"/>
      <c r="K198" s="14" t="s">
        <v>111</v>
      </c>
      <c r="M198" s="53"/>
      <c r="N198" s="8"/>
      <c r="O198" s="33"/>
      <c r="P198" s="19"/>
      <c r="Q198" s="19"/>
      <c r="R198" s="19"/>
      <c r="S198" s="19"/>
      <c r="T198" s="19"/>
      <c r="U198" s="25"/>
      <c r="V198" s="41"/>
      <c r="W198" s="17"/>
      <c r="X198" s="44"/>
      <c r="Y198" s="15"/>
      <c r="Z198" s="44"/>
      <c r="AA198" s="15"/>
      <c r="AB198" s="44"/>
      <c r="AC198" s="45"/>
      <c r="AD198" s="44"/>
      <c r="AE198" s="15"/>
      <c r="AF198" s="40"/>
      <c r="AG198" s="39"/>
      <c r="AH198" s="40"/>
      <c r="AI198" s="39"/>
      <c r="AJ198" s="70"/>
    </row>
    <row r="199" spans="1:36" s="14" customFormat="1" ht="15.95" customHeight="1" outlineLevel="1">
      <c r="A199" s="11"/>
      <c r="C199" s="48">
        <f ca="1">YEAR(TODAY())</f>
        <v>2026</v>
      </c>
      <c r="D199" s="43"/>
      <c r="E199" s="237">
        <v>2026</v>
      </c>
      <c r="G199" s="38">
        <v>0</v>
      </c>
      <c r="I199" s="253">
        <f>+E202-1</f>
        <v>2022</v>
      </c>
      <c r="K199" s="38">
        <v>0</v>
      </c>
      <c r="M199" s="53"/>
      <c r="N199" s="8"/>
      <c r="O199" s="33"/>
      <c r="P199" s="19"/>
      <c r="Q199" s="19"/>
      <c r="R199" s="19"/>
      <c r="S199" s="19"/>
      <c r="T199" s="19"/>
      <c r="U199" s="25"/>
      <c r="V199" s="41"/>
      <c r="W199" s="17"/>
      <c r="X199" s="44"/>
      <c r="Y199" s="15"/>
      <c r="Z199" s="44"/>
      <c r="AA199" s="15"/>
      <c r="AB199" s="44"/>
      <c r="AC199" s="45"/>
      <c r="AD199" s="44"/>
      <c r="AE199" s="15"/>
      <c r="AF199" s="40"/>
      <c r="AG199" s="39"/>
      <c r="AH199" s="40"/>
      <c r="AI199" s="39"/>
      <c r="AJ199" s="70"/>
    </row>
    <row r="200" spans="1:36" s="14" customFormat="1" ht="15.95" customHeight="1" outlineLevel="1">
      <c r="A200" s="11"/>
      <c r="B200" s="43"/>
      <c r="D200" s="43"/>
      <c r="E200" s="253">
        <f>+E199-1</f>
        <v>2025</v>
      </c>
      <c r="G200" s="38">
        <v>0</v>
      </c>
      <c r="I200" s="253">
        <f t="shared" ref="I200:I202" si="2">+I199-1</f>
        <v>2021</v>
      </c>
      <c r="K200" s="38">
        <v>0</v>
      </c>
      <c r="M200" s="53"/>
      <c r="N200" s="8"/>
      <c r="O200" s="33"/>
      <c r="P200" s="19"/>
      <c r="Q200" s="19"/>
      <c r="R200" s="19"/>
      <c r="S200" s="19"/>
      <c r="T200" s="19"/>
      <c r="U200" s="25"/>
      <c r="V200" s="41"/>
      <c r="W200" s="17"/>
      <c r="X200" s="44"/>
      <c r="Y200" s="15"/>
      <c r="Z200" s="44"/>
      <c r="AA200" s="15"/>
      <c r="AB200" s="44"/>
      <c r="AC200" s="45"/>
      <c r="AD200" s="44"/>
      <c r="AE200" s="15"/>
      <c r="AF200" s="40"/>
      <c r="AG200" s="39"/>
      <c r="AH200" s="40"/>
      <c r="AI200" s="39"/>
      <c r="AJ200" s="70"/>
    </row>
    <row r="201" spans="1:36" s="14" customFormat="1" ht="15.95" customHeight="1" outlineLevel="1">
      <c r="A201" s="11"/>
      <c r="B201" s="43"/>
      <c r="D201" s="43"/>
      <c r="E201" s="253">
        <f t="shared" ref="E201:E202" si="3">+E200-1</f>
        <v>2024</v>
      </c>
      <c r="G201" s="38">
        <v>0</v>
      </c>
      <c r="I201" s="253">
        <f t="shared" si="2"/>
        <v>2020</v>
      </c>
      <c r="K201" s="38">
        <v>0</v>
      </c>
      <c r="M201" s="53"/>
      <c r="N201" s="8"/>
      <c r="O201" s="33"/>
      <c r="P201" s="19"/>
      <c r="Q201" s="19"/>
      <c r="R201" s="19"/>
      <c r="S201" s="19"/>
      <c r="T201" s="19"/>
      <c r="U201" s="25"/>
      <c r="V201" s="41"/>
      <c r="W201" s="17"/>
      <c r="X201" s="44"/>
      <c r="Y201" s="15"/>
      <c r="Z201" s="44"/>
      <c r="AA201" s="15"/>
      <c r="AB201" s="44"/>
      <c r="AC201" s="45"/>
      <c r="AD201" s="44"/>
      <c r="AE201" s="15"/>
      <c r="AF201" s="40"/>
      <c r="AG201" s="39"/>
      <c r="AH201" s="40"/>
      <c r="AI201" s="39"/>
      <c r="AJ201" s="70"/>
    </row>
    <row r="202" spans="1:36" s="14" customFormat="1" ht="15.95" customHeight="1" outlineLevel="1">
      <c r="A202" s="11"/>
      <c r="B202" s="43"/>
      <c r="D202" s="43"/>
      <c r="E202" s="253">
        <f t="shared" si="3"/>
        <v>2023</v>
      </c>
      <c r="G202" s="38">
        <v>0</v>
      </c>
      <c r="I202" s="253">
        <f t="shared" si="2"/>
        <v>2019</v>
      </c>
      <c r="K202" s="38">
        <v>0</v>
      </c>
      <c r="M202" s="53"/>
      <c r="N202" s="8"/>
      <c r="O202" s="33"/>
      <c r="P202" s="19"/>
      <c r="Q202" s="19"/>
      <c r="R202" s="19"/>
      <c r="S202" s="19"/>
      <c r="T202" s="19"/>
      <c r="U202" s="25"/>
      <c r="V202" s="41"/>
      <c r="W202" s="17"/>
      <c r="X202" s="44"/>
      <c r="Y202" s="15"/>
      <c r="Z202" s="44"/>
      <c r="AA202" s="15"/>
      <c r="AB202" s="44"/>
      <c r="AC202" s="45"/>
      <c r="AD202" s="44"/>
      <c r="AE202" s="15"/>
      <c r="AF202" s="40"/>
      <c r="AG202" s="39"/>
      <c r="AH202" s="40"/>
      <c r="AI202" s="39"/>
      <c r="AJ202" s="70"/>
    </row>
    <row r="203" spans="1:36" ht="6" customHeight="1">
      <c r="B203" s="43"/>
      <c r="D203" s="13"/>
      <c r="E203" s="13"/>
      <c r="F203" s="13"/>
      <c r="G203" s="13"/>
      <c r="H203" s="13"/>
      <c r="N203" s="9"/>
      <c r="O203" s="19"/>
      <c r="P203" s="19"/>
      <c r="Q203" s="19"/>
      <c r="R203" s="19"/>
      <c r="S203" s="19"/>
      <c r="T203" s="19"/>
      <c r="U203" s="18"/>
    </row>
    <row r="204" spans="1:36" s="14" customFormat="1" ht="15.95" customHeight="1" outlineLevel="1">
      <c r="A204" s="11">
        <v>13.2</v>
      </c>
      <c r="B204" s="32" t="s">
        <v>110</v>
      </c>
      <c r="C204" s="47"/>
      <c r="D204" s="43"/>
      <c r="M204" s="53"/>
      <c r="N204" s="8"/>
      <c r="O204" s="33"/>
      <c r="P204" s="19"/>
      <c r="Q204" s="19"/>
      <c r="R204" s="19"/>
      <c r="S204" s="19"/>
      <c r="T204" s="19"/>
      <c r="U204" s="25"/>
      <c r="V204" s="41"/>
      <c r="W204" s="17"/>
      <c r="X204" s="40"/>
      <c r="Y204" s="39"/>
      <c r="Z204" s="40"/>
      <c r="AA204" s="39"/>
      <c r="AB204" s="40"/>
      <c r="AC204" s="45"/>
      <c r="AD204" s="40"/>
      <c r="AE204" s="39"/>
      <c r="AF204" s="40"/>
      <c r="AG204" s="39"/>
      <c r="AH204" s="40"/>
      <c r="AI204" s="39"/>
      <c r="AJ204" s="70"/>
    </row>
    <row r="205" spans="1:36" s="14" customFormat="1" ht="15.95" customHeight="1" outlineLevel="1">
      <c r="A205" s="11"/>
      <c r="B205" s="46" t="b">
        <v>0</v>
      </c>
      <c r="C205" s="509" t="s">
        <v>109</v>
      </c>
      <c r="D205" s="509"/>
      <c r="E205" s="509"/>
      <c r="F205" s="509"/>
      <c r="G205" s="509"/>
      <c r="H205" s="509"/>
      <c r="I205" s="509"/>
      <c r="J205" s="509"/>
      <c r="M205" s="53">
        <f>+IF(B205,2,0)</f>
        <v>0</v>
      </c>
      <c r="N205" s="8"/>
      <c r="O205" s="33"/>
      <c r="P205" s="19"/>
      <c r="Q205" s="19"/>
      <c r="R205" s="19"/>
      <c r="S205" s="19"/>
      <c r="T205" s="19"/>
      <c r="U205" s="25"/>
      <c r="V205" s="41"/>
      <c r="W205" s="17"/>
      <c r="X205" s="44"/>
      <c r="Y205" s="15"/>
      <c r="Z205" s="44"/>
      <c r="AA205" s="15"/>
      <c r="AB205" s="44"/>
      <c r="AC205" s="45"/>
      <c r="AD205" s="44"/>
      <c r="AE205" s="15"/>
      <c r="AF205" s="40"/>
      <c r="AG205" s="39"/>
      <c r="AH205" s="40"/>
      <c r="AI205" s="39"/>
      <c r="AJ205" s="70"/>
    </row>
    <row r="206" spans="1:36" ht="6" customHeight="1">
      <c r="B206" s="43"/>
      <c r="D206" s="13"/>
      <c r="E206" s="13"/>
      <c r="F206" s="13"/>
      <c r="G206" s="13"/>
      <c r="H206" s="13"/>
      <c r="M206" s="36"/>
      <c r="N206" s="9"/>
      <c r="O206" s="19"/>
      <c r="P206" s="19"/>
      <c r="Q206" s="19"/>
      <c r="R206" s="19"/>
      <c r="S206" s="19"/>
      <c r="T206" s="19"/>
      <c r="U206" s="18"/>
    </row>
    <row r="207" spans="1:36" s="14" customFormat="1" ht="15.95" customHeight="1" outlineLevel="1">
      <c r="A207" s="11">
        <v>14</v>
      </c>
      <c r="B207" s="32" t="s">
        <v>108</v>
      </c>
      <c r="M207" s="42"/>
      <c r="N207" s="8"/>
      <c r="O207" s="27"/>
      <c r="P207" s="27"/>
      <c r="Q207" s="27"/>
      <c r="R207" s="27"/>
      <c r="S207" s="27"/>
      <c r="T207" s="27"/>
      <c r="U207" s="25"/>
      <c r="V207" s="16"/>
      <c r="W207" s="16"/>
      <c r="X207" s="16"/>
      <c r="Y207" s="15"/>
      <c r="Z207" s="16"/>
      <c r="AA207" s="15"/>
      <c r="AB207" s="16"/>
      <c r="AC207" s="15"/>
      <c r="AD207" s="16"/>
      <c r="AE207" s="15"/>
      <c r="AF207" s="16"/>
      <c r="AG207" s="15"/>
      <c r="AH207" s="16"/>
      <c r="AI207" s="15"/>
      <c r="AJ207" s="70"/>
    </row>
    <row r="208" spans="1:36" s="14" customFormat="1" ht="15.95" customHeight="1">
      <c r="A208" s="11">
        <v>14.1</v>
      </c>
      <c r="B208" s="38">
        <v>0</v>
      </c>
      <c r="C208" s="500" t="s">
        <v>107</v>
      </c>
      <c r="D208" s="500"/>
      <c r="E208" s="500"/>
      <c r="F208" s="500"/>
      <c r="G208" s="500"/>
      <c r="H208" s="500"/>
      <c r="I208" s="500"/>
      <c r="J208" s="500"/>
      <c r="M208" s="53">
        <f>+IF(B208&gt;Z208,AA208,IF(B208&gt;=X208,Y208,))</f>
        <v>0</v>
      </c>
      <c r="O208" s="267" t="str">
        <f>+X208&amp;"–"&amp;Z208</f>
        <v>1–20</v>
      </c>
      <c r="P208" s="19" t="str">
        <f>+"&gt;"&amp;Z208</f>
        <v>&gt;20</v>
      </c>
      <c r="Q208" s="27"/>
      <c r="R208" s="27"/>
      <c r="S208" s="27"/>
      <c r="T208" s="27"/>
      <c r="U208" s="25"/>
      <c r="V208" s="16"/>
      <c r="W208" s="16"/>
      <c r="X208" s="16">
        <v>1</v>
      </c>
      <c r="Y208" s="15">
        <v>0.5</v>
      </c>
      <c r="Z208" s="16">
        <v>20</v>
      </c>
      <c r="AA208" s="15">
        <v>1</v>
      </c>
      <c r="AB208" s="16"/>
      <c r="AC208" s="15"/>
      <c r="AD208" s="16"/>
      <c r="AE208" s="15"/>
      <c r="AF208" s="16"/>
      <c r="AG208" s="15"/>
      <c r="AH208" s="16"/>
      <c r="AI208" s="15"/>
      <c r="AJ208" s="70"/>
    </row>
    <row r="209" spans="1:40" s="14" customFormat="1" ht="6" customHeight="1" outlineLevel="1">
      <c r="D209" s="43"/>
      <c r="M209" s="42"/>
      <c r="N209" s="8"/>
      <c r="O209" s="33"/>
      <c r="P209" s="19"/>
      <c r="Q209" s="19"/>
      <c r="R209" s="19"/>
      <c r="S209" s="19"/>
      <c r="T209" s="19"/>
      <c r="U209" s="25"/>
      <c r="V209" s="41"/>
      <c r="W209" s="17"/>
      <c r="X209" s="16"/>
      <c r="Y209" s="15"/>
      <c r="Z209" s="16"/>
      <c r="AA209" s="15"/>
      <c r="AB209" s="16"/>
      <c r="AC209" s="15"/>
      <c r="AD209" s="16"/>
      <c r="AE209" s="15"/>
      <c r="AF209" s="40"/>
      <c r="AG209" s="39"/>
      <c r="AH209" s="40"/>
      <c r="AI209" s="39"/>
      <c r="AJ209" s="70"/>
    </row>
    <row r="210" spans="1:40" s="14" customFormat="1" ht="15.95" customHeight="1">
      <c r="A210" s="11">
        <v>14.2</v>
      </c>
      <c r="B210" s="38">
        <v>0</v>
      </c>
      <c r="C210" s="500" t="s">
        <v>106</v>
      </c>
      <c r="D210" s="500"/>
      <c r="E210" s="500"/>
      <c r="F210" s="500"/>
      <c r="G210" s="500"/>
      <c r="H210" s="500"/>
      <c r="I210" s="500"/>
      <c r="J210" s="500"/>
      <c r="M210" s="53">
        <f>+IF(B210&gt;Z210,AA210,IF(B210&gt;=X210,Y210,))</f>
        <v>0</v>
      </c>
      <c r="O210" s="267" t="str">
        <f>+X210&amp;"–"&amp;Z210</f>
        <v>11–30</v>
      </c>
      <c r="P210" s="19" t="str">
        <f>+"&gt;"&amp;Z210</f>
        <v>&gt;30</v>
      </c>
      <c r="Q210" s="27"/>
      <c r="R210" s="27"/>
      <c r="S210" s="27"/>
      <c r="T210" s="27"/>
      <c r="U210" s="25"/>
      <c r="V210" s="16"/>
      <c r="W210" s="16"/>
      <c r="X210" s="16">
        <v>11</v>
      </c>
      <c r="Y210" s="15">
        <v>0.5</v>
      </c>
      <c r="Z210" s="16">
        <v>30</v>
      </c>
      <c r="AA210" s="15">
        <v>1</v>
      </c>
      <c r="AB210" s="16"/>
      <c r="AC210" s="15"/>
      <c r="AD210" s="16"/>
      <c r="AE210" s="15"/>
      <c r="AF210" s="16"/>
      <c r="AG210" s="15"/>
      <c r="AH210" s="16"/>
      <c r="AI210" s="15"/>
      <c r="AJ210" s="70"/>
    </row>
    <row r="211" spans="1:40" ht="6" customHeight="1">
      <c r="D211" s="13"/>
      <c r="E211" s="13"/>
      <c r="F211" s="13"/>
      <c r="G211" s="13"/>
      <c r="H211" s="13"/>
      <c r="L211" s="13"/>
      <c r="M211" s="36"/>
      <c r="N211" s="4"/>
      <c r="O211" s="19"/>
      <c r="P211" s="19"/>
      <c r="Q211" s="19"/>
      <c r="R211" s="19"/>
      <c r="S211" s="19"/>
      <c r="T211" s="19"/>
      <c r="U211" s="18"/>
    </row>
    <row r="212" spans="1:40" s="14" customFormat="1" ht="15.95" customHeight="1">
      <c r="A212" s="11">
        <v>14.3</v>
      </c>
      <c r="B212" s="35">
        <v>0</v>
      </c>
      <c r="C212" s="14" t="s">
        <v>105</v>
      </c>
      <c r="M212" s="53">
        <f>+IF(B212&gt;Z212,AA212,IF(B212&gt;=X212,Y212,))</f>
        <v>0</v>
      </c>
      <c r="O212" s="267" t="str">
        <f>+X212&amp;"–"&amp;Z212</f>
        <v>10–20</v>
      </c>
      <c r="P212" s="19" t="str">
        <f>+"&gt;"&amp;Z212</f>
        <v>&gt;20</v>
      </c>
      <c r="Q212" s="27"/>
      <c r="R212" s="27"/>
      <c r="S212" s="27"/>
      <c r="T212" s="27"/>
      <c r="U212" s="25"/>
      <c r="V212" s="16"/>
      <c r="W212" s="16"/>
      <c r="X212" s="16">
        <v>10</v>
      </c>
      <c r="Y212" s="15">
        <v>0.5</v>
      </c>
      <c r="Z212" s="16">
        <v>20</v>
      </c>
      <c r="AA212" s="15">
        <v>1</v>
      </c>
      <c r="AB212" s="16"/>
      <c r="AC212" s="15"/>
      <c r="AD212" s="16"/>
      <c r="AE212" s="15"/>
      <c r="AF212" s="16"/>
      <c r="AG212" s="15"/>
      <c r="AH212" s="16"/>
      <c r="AI212" s="15"/>
      <c r="AJ212" s="70"/>
    </row>
    <row r="213" spans="1:40" ht="6" customHeight="1">
      <c r="D213" s="13"/>
      <c r="E213" s="13"/>
      <c r="F213" s="13"/>
      <c r="G213" s="13"/>
      <c r="H213" s="13"/>
      <c r="M213" s="36"/>
      <c r="N213" s="9"/>
      <c r="O213" s="19"/>
      <c r="P213" s="19"/>
      <c r="Q213" s="19"/>
      <c r="R213" s="19"/>
      <c r="S213" s="19"/>
      <c r="T213" s="19"/>
      <c r="U213" s="18"/>
    </row>
    <row r="214" spans="1:40" s="14" customFormat="1" ht="15.95" customHeight="1" outlineLevel="1">
      <c r="A214" s="11">
        <v>15</v>
      </c>
      <c r="B214" s="32" t="s">
        <v>104</v>
      </c>
      <c r="E214" s="32"/>
      <c r="F214" s="32"/>
      <c r="G214" s="32"/>
      <c r="H214" s="32"/>
      <c r="I214" s="32"/>
      <c r="J214" s="32"/>
      <c r="K214" s="32"/>
      <c r="L214" s="32"/>
      <c r="M214" s="58"/>
      <c r="N214" s="8"/>
      <c r="O214" s="30"/>
      <c r="P214" s="30"/>
      <c r="Q214" s="30"/>
      <c r="R214" s="30"/>
      <c r="S214" s="30"/>
      <c r="T214" s="30"/>
      <c r="U214" s="29"/>
      <c r="V214" s="28"/>
      <c r="W214" s="28"/>
      <c r="X214" s="16"/>
      <c r="Y214" s="15"/>
      <c r="Z214" s="16"/>
      <c r="AA214" s="15"/>
      <c r="AB214" s="16"/>
      <c r="AC214" s="15"/>
      <c r="AD214" s="16"/>
      <c r="AE214" s="15"/>
      <c r="AF214" s="16"/>
      <c r="AG214" s="15"/>
      <c r="AH214" s="16"/>
      <c r="AI214" s="15"/>
      <c r="AJ214" s="70"/>
    </row>
    <row r="215" spans="1:40" s="14" customFormat="1" ht="15.95" customHeight="1" outlineLevel="1">
      <c r="C215" s="14" t="s">
        <v>103</v>
      </c>
      <c r="M215" s="42"/>
      <c r="N215" s="8"/>
      <c r="O215" s="27"/>
      <c r="P215" s="27"/>
      <c r="Q215" s="27"/>
      <c r="R215" s="27"/>
      <c r="S215" s="27"/>
      <c r="T215" s="27"/>
      <c r="U215" s="25"/>
      <c r="V215" s="16"/>
      <c r="W215" s="16"/>
      <c r="X215" s="16"/>
      <c r="Y215" s="15"/>
      <c r="Z215" s="16"/>
      <c r="AA215" s="15"/>
      <c r="AB215" s="16"/>
      <c r="AC215" s="15"/>
      <c r="AD215" s="16"/>
      <c r="AE215" s="15"/>
      <c r="AF215" s="16"/>
      <c r="AG215" s="15"/>
      <c r="AH215" s="16"/>
      <c r="AI215" s="15"/>
      <c r="AJ215" s="70"/>
    </row>
    <row r="216" spans="1:40" s="14" customFormat="1" ht="15.95" customHeight="1" outlineLevel="1">
      <c r="C216" s="14" t="s">
        <v>102</v>
      </c>
      <c r="M216" s="42"/>
      <c r="N216" s="8"/>
      <c r="O216" s="27"/>
      <c r="P216" s="27"/>
      <c r="Q216" s="27"/>
      <c r="R216" s="27"/>
      <c r="S216" s="27"/>
      <c r="T216" s="27"/>
      <c r="U216" s="25"/>
      <c r="V216" s="16"/>
      <c r="W216" s="16"/>
      <c r="X216" s="16"/>
      <c r="Y216" s="15"/>
      <c r="Z216" s="16"/>
      <c r="AA216" s="15"/>
      <c r="AB216" s="16"/>
      <c r="AC216" s="15"/>
      <c r="AD216" s="16"/>
      <c r="AE216" s="15"/>
      <c r="AF216" s="16"/>
      <c r="AG216" s="15"/>
      <c r="AH216" s="16"/>
      <c r="AI216" s="15"/>
      <c r="AJ216" s="70"/>
    </row>
    <row r="217" spans="1:40" s="14" customFormat="1" ht="15.95" customHeight="1" outlineLevel="1">
      <c r="A217" s="11"/>
      <c r="C217" s="14" t="s">
        <v>101</v>
      </c>
      <c r="M217" s="407">
        <v>0</v>
      </c>
      <c r="N217" s="8"/>
      <c r="O217" s="19"/>
      <c r="P217" s="19"/>
      <c r="Q217" s="19"/>
      <c r="R217" s="19"/>
      <c r="S217" s="19"/>
      <c r="T217" s="19"/>
      <c r="U217" s="25"/>
      <c r="V217" s="16"/>
      <c r="W217" s="16"/>
      <c r="X217" s="16"/>
      <c r="Y217" s="15"/>
      <c r="Z217" s="16"/>
      <c r="AA217" s="15"/>
      <c r="AB217" s="16"/>
      <c r="AC217" s="15"/>
      <c r="AD217" s="16"/>
      <c r="AE217" s="15"/>
      <c r="AF217" s="16"/>
      <c r="AG217" s="15"/>
      <c r="AH217" s="16"/>
      <c r="AI217" s="15"/>
      <c r="AJ217" s="70"/>
    </row>
    <row r="218" spans="1:40" s="200" customFormat="1" ht="6" customHeight="1" outlineLevel="1">
      <c r="A218" s="199"/>
      <c r="B218" s="212"/>
      <c r="C218" s="206"/>
      <c r="D218" s="206"/>
      <c r="E218" s="206"/>
      <c r="F218" s="206"/>
      <c r="G218" s="206"/>
      <c r="H218" s="206"/>
      <c r="I218" s="206"/>
      <c r="J218" s="206"/>
      <c r="K218" s="206"/>
      <c r="L218" s="206"/>
      <c r="M218" s="206"/>
      <c r="N218" s="206"/>
      <c r="O218" s="224"/>
      <c r="P218" s="224"/>
      <c r="Q218" s="224"/>
      <c r="R218" s="224"/>
      <c r="S218" s="224"/>
      <c r="T218" s="224"/>
      <c r="U218" s="228"/>
      <c r="V218" s="213"/>
      <c r="W218" s="213"/>
      <c r="X218" s="213"/>
      <c r="Y218" s="214"/>
      <c r="Z218" s="213"/>
      <c r="AA218" s="214"/>
      <c r="AB218" s="213"/>
      <c r="AC218" s="214"/>
      <c r="AD218" s="213"/>
      <c r="AE218" s="214"/>
      <c r="AF218" s="213"/>
      <c r="AG218" s="214"/>
      <c r="AH218" s="213"/>
      <c r="AI218" s="214"/>
      <c r="AJ218" s="202"/>
      <c r="AL218" s="184"/>
      <c r="AM218" s="184"/>
      <c r="AN218" s="184"/>
    </row>
    <row r="219" spans="1:40" s="14" customFormat="1" ht="15.95" customHeight="1" outlineLevel="1">
      <c r="A219" s="11">
        <v>16</v>
      </c>
      <c r="B219" s="14" t="s">
        <v>304</v>
      </c>
      <c r="M219" s="407">
        <f>'ferme+'!Pkt_Hofplus</f>
        <v>0</v>
      </c>
      <c r="N219" s="8"/>
      <c r="O219" s="19"/>
      <c r="P219" s="19"/>
      <c r="Q219" s="19"/>
      <c r="R219" s="19"/>
      <c r="S219" s="19"/>
      <c r="T219" s="19"/>
      <c r="U219" s="25"/>
      <c r="V219" s="16"/>
      <c r="W219" s="16"/>
      <c r="X219" s="16"/>
      <c r="Y219" s="15"/>
      <c r="Z219" s="16"/>
      <c r="AA219" s="15"/>
      <c r="AB219" s="16"/>
      <c r="AC219" s="15"/>
      <c r="AD219" s="16"/>
      <c r="AE219" s="15"/>
      <c r="AF219" s="16"/>
      <c r="AG219" s="15"/>
      <c r="AH219" s="16"/>
      <c r="AI219" s="15"/>
      <c r="AJ219" s="70"/>
    </row>
    <row r="220" spans="1:40" s="200" customFormat="1" ht="6" customHeight="1" outlineLevel="1">
      <c r="A220" s="199"/>
      <c r="B220" s="212"/>
      <c r="C220" s="206"/>
      <c r="D220" s="206"/>
      <c r="E220" s="206"/>
      <c r="F220" s="206"/>
      <c r="G220" s="206"/>
      <c r="H220" s="206"/>
      <c r="I220" s="206"/>
      <c r="J220" s="206"/>
      <c r="K220" s="206"/>
      <c r="L220" s="206"/>
      <c r="M220" s="206"/>
      <c r="N220" s="206"/>
      <c r="O220" s="224"/>
      <c r="P220" s="224"/>
      <c r="Q220" s="224"/>
      <c r="R220" s="224"/>
      <c r="S220" s="224"/>
      <c r="T220" s="224"/>
      <c r="U220" s="228"/>
      <c r="V220" s="213"/>
      <c r="W220" s="213"/>
      <c r="X220" s="213"/>
      <c r="Y220" s="214"/>
      <c r="Z220" s="213"/>
      <c r="AA220" s="214"/>
      <c r="AB220" s="213"/>
      <c r="AC220" s="214"/>
      <c r="AD220" s="213"/>
      <c r="AE220" s="214"/>
      <c r="AF220" s="213"/>
      <c r="AG220" s="214"/>
      <c r="AH220" s="213"/>
      <c r="AI220" s="214"/>
      <c r="AJ220" s="202"/>
      <c r="AL220" s="184"/>
      <c r="AM220" s="184"/>
      <c r="AN220" s="184"/>
    </row>
    <row r="221" spans="1:40" s="200" customFormat="1" ht="15.95" customHeight="1" outlineLevel="1">
      <c r="A221" s="199">
        <v>17</v>
      </c>
      <c r="B221" s="14" t="s">
        <v>306</v>
      </c>
      <c r="C221" s="231"/>
      <c r="G221" s="241"/>
      <c r="M221" s="246">
        <f>maraîchère!G81</f>
        <v>0</v>
      </c>
      <c r="N221" s="206"/>
      <c r="O221" s="224"/>
      <c r="P221" s="224"/>
      <c r="Q221" s="224"/>
      <c r="R221" s="224"/>
      <c r="S221" s="224"/>
      <c r="T221" s="224"/>
      <c r="U221" s="228"/>
      <c r="V221" s="213"/>
      <c r="W221" s="213"/>
      <c r="X221" s="213"/>
      <c r="Y221" s="214"/>
      <c r="Z221" s="213"/>
      <c r="AA221" s="214"/>
      <c r="AB221" s="213"/>
      <c r="AC221" s="214"/>
      <c r="AD221" s="213"/>
      <c r="AE221" s="214"/>
      <c r="AF221" s="213"/>
      <c r="AG221" s="214"/>
      <c r="AH221" s="213"/>
      <c r="AI221" s="214"/>
      <c r="AK221" s="184"/>
      <c r="AL221" s="184"/>
      <c r="AM221" s="184"/>
      <c r="AN221" s="184"/>
    </row>
    <row r="222" spans="1:40" s="200" customFormat="1" ht="6" customHeight="1" outlineLevel="1">
      <c r="A222" s="206"/>
      <c r="B222" s="212"/>
      <c r="C222" s="206"/>
      <c r="D222" s="206"/>
      <c r="E222" s="206"/>
      <c r="F222" s="206"/>
      <c r="G222" s="206"/>
      <c r="H222" s="206"/>
      <c r="I222" s="206"/>
      <c r="J222" s="206"/>
      <c r="K222" s="206"/>
      <c r="L222" s="206"/>
      <c r="M222" s="206"/>
      <c r="N222" s="206"/>
      <c r="O222" s="224"/>
      <c r="P222" s="224"/>
      <c r="Q222" s="224"/>
      <c r="R222" s="224"/>
      <c r="S222" s="224"/>
      <c r="T222" s="224"/>
      <c r="U222" s="228"/>
      <c r="V222" s="213"/>
      <c r="W222" s="213"/>
      <c r="X222" s="213"/>
      <c r="Y222" s="214"/>
      <c r="Z222" s="213"/>
      <c r="AA222" s="214"/>
      <c r="AB222" s="213"/>
      <c r="AC222" s="214"/>
      <c r="AD222" s="213"/>
      <c r="AE222" s="214"/>
      <c r="AF222" s="213"/>
      <c r="AG222" s="214"/>
      <c r="AH222" s="213"/>
      <c r="AI222" s="214"/>
      <c r="AL222" s="184"/>
      <c r="AM222" s="184"/>
      <c r="AN222" s="184"/>
    </row>
    <row r="223" spans="1:40" s="200" customFormat="1" ht="15.95" customHeight="1" outlineLevel="1">
      <c r="A223" s="199">
        <v>18</v>
      </c>
      <c r="B223" s="14" t="s">
        <v>305</v>
      </c>
      <c r="C223" s="231"/>
      <c r="I223" s="241"/>
      <c r="M223" s="246">
        <f>viticulture!E30</f>
        <v>0</v>
      </c>
      <c r="N223" s="206"/>
      <c r="O223" s="224"/>
      <c r="P223" s="224"/>
      <c r="Q223" s="224"/>
      <c r="R223" s="224"/>
      <c r="S223" s="224"/>
      <c r="T223" s="224"/>
      <c r="U223" s="228"/>
      <c r="V223" s="213"/>
      <c r="W223" s="213"/>
      <c r="X223" s="213"/>
      <c r="Y223" s="214"/>
      <c r="Z223" s="213"/>
      <c r="AA223" s="214"/>
      <c r="AB223" s="213"/>
      <c r="AC223" s="214"/>
      <c r="AD223" s="213"/>
      <c r="AE223" s="214"/>
      <c r="AF223" s="213"/>
      <c r="AG223" s="214"/>
      <c r="AH223" s="213"/>
      <c r="AI223" s="214"/>
      <c r="AK223" s="184"/>
      <c r="AL223" s="184"/>
      <c r="AM223" s="184"/>
      <c r="AN223" s="184"/>
    </row>
    <row r="224" spans="1:40" ht="6" customHeight="1">
      <c r="D224" s="13"/>
      <c r="E224" s="13"/>
      <c r="F224" s="13"/>
      <c r="G224" s="13"/>
      <c r="H224" s="13"/>
      <c r="N224" s="4"/>
      <c r="O224" s="19"/>
      <c r="P224" s="19"/>
      <c r="Q224" s="19"/>
      <c r="R224" s="19"/>
      <c r="S224" s="19"/>
      <c r="T224" s="19"/>
      <c r="U224" s="18"/>
    </row>
    <row r="225" spans="1:36" s="20" customFormat="1" ht="20.100000000000001" customHeight="1">
      <c r="A225" s="24" t="s">
        <v>100</v>
      </c>
      <c r="C225" s="24"/>
      <c r="K225" s="67"/>
      <c r="L225" s="67"/>
      <c r="N225" s="23">
        <f>+SUM(M191:M224)</f>
        <v>0</v>
      </c>
      <c r="O225" s="22"/>
      <c r="P225" s="22"/>
      <c r="Q225" s="22"/>
      <c r="R225" s="22"/>
      <c r="S225" s="22"/>
      <c r="T225" s="22"/>
      <c r="U225" s="137"/>
      <c r="V225" s="6"/>
      <c r="W225" s="6"/>
      <c r="X225" s="6"/>
      <c r="Y225" s="5"/>
      <c r="Z225" s="6"/>
      <c r="AA225" s="5"/>
      <c r="AB225" s="6"/>
      <c r="AC225" s="5"/>
      <c r="AD225" s="6"/>
      <c r="AE225" s="5"/>
      <c r="AF225" s="6"/>
      <c r="AG225" s="5"/>
      <c r="AH225" s="6"/>
      <c r="AI225" s="5"/>
      <c r="AJ225" s="136"/>
    </row>
    <row r="226" spans="1:36" ht="6" customHeight="1">
      <c r="N226" s="4"/>
      <c r="R226" s="4"/>
      <c r="S226" s="4"/>
      <c r="T226" s="4"/>
    </row>
    <row r="227" spans="1:36" ht="15.95" customHeight="1">
      <c r="A227" s="4" t="s">
        <v>99</v>
      </c>
      <c r="C227" s="512"/>
      <c r="D227" s="512"/>
      <c r="E227" s="512"/>
      <c r="F227" s="512"/>
      <c r="G227" s="512"/>
      <c r="H227" s="512"/>
      <c r="I227" s="512"/>
      <c r="J227" s="512"/>
      <c r="K227" s="512"/>
      <c r="L227" s="512"/>
      <c r="M227" s="512"/>
      <c r="N227" s="512"/>
      <c r="O227" s="512"/>
      <c r="P227" s="512"/>
      <c r="Q227" s="512"/>
      <c r="R227" s="512"/>
      <c r="S227" s="512"/>
      <c r="T227" s="512"/>
      <c r="U227" s="512"/>
    </row>
    <row r="228" spans="1:36" ht="15.95" customHeight="1">
      <c r="C228" s="512"/>
      <c r="D228" s="512"/>
      <c r="E228" s="512"/>
      <c r="F228" s="512"/>
      <c r="G228" s="512"/>
      <c r="H228" s="512"/>
      <c r="I228" s="512"/>
      <c r="J228" s="512"/>
      <c r="K228" s="512"/>
      <c r="L228" s="512"/>
      <c r="M228" s="512"/>
      <c r="N228" s="512"/>
      <c r="O228" s="512"/>
      <c r="P228" s="512"/>
      <c r="Q228" s="512"/>
      <c r="R228" s="512"/>
      <c r="S228" s="512"/>
      <c r="T228" s="512"/>
      <c r="U228" s="512"/>
    </row>
    <row r="229" spans="1:36" ht="15.95" customHeight="1">
      <c r="C229" s="512"/>
      <c r="D229" s="512"/>
      <c r="E229" s="512"/>
      <c r="F229" s="512"/>
      <c r="G229" s="512"/>
      <c r="H229" s="512"/>
      <c r="I229" s="512"/>
      <c r="J229" s="512"/>
      <c r="K229" s="512"/>
      <c r="L229" s="512"/>
      <c r="M229" s="512"/>
      <c r="N229" s="512"/>
      <c r="O229" s="512"/>
      <c r="P229" s="512"/>
      <c r="Q229" s="512"/>
      <c r="R229" s="512"/>
      <c r="S229" s="512"/>
      <c r="T229" s="512"/>
      <c r="U229" s="512"/>
    </row>
    <row r="230" spans="1:36" ht="15.95" customHeight="1">
      <c r="C230" s="512"/>
      <c r="D230" s="512"/>
      <c r="E230" s="512"/>
      <c r="F230" s="512"/>
      <c r="G230" s="512"/>
      <c r="H230" s="512"/>
      <c r="I230" s="512"/>
      <c r="J230" s="512"/>
      <c r="K230" s="512"/>
      <c r="L230" s="512"/>
      <c r="M230" s="512"/>
      <c r="N230" s="512"/>
      <c r="O230" s="512"/>
      <c r="P230" s="512"/>
      <c r="Q230" s="512"/>
      <c r="R230" s="512"/>
      <c r="S230" s="512"/>
      <c r="T230" s="512"/>
      <c r="U230" s="512"/>
    </row>
    <row r="231" spans="1:36" ht="6" customHeight="1">
      <c r="D231" s="13"/>
      <c r="E231" s="13"/>
      <c r="F231" s="13"/>
      <c r="G231" s="13"/>
      <c r="H231" s="13"/>
      <c r="N231" s="4"/>
      <c r="V231" s="6"/>
      <c r="W231" s="6"/>
    </row>
    <row r="232" spans="1:36" s="127" customFormat="1" ht="25.5" customHeight="1">
      <c r="A232" s="135" t="s">
        <v>98</v>
      </c>
      <c r="E232" s="134"/>
      <c r="F232" s="134"/>
      <c r="G232" s="134"/>
      <c r="H232" s="134"/>
      <c r="M232" s="133" t="s">
        <v>97</v>
      </c>
      <c r="N232" s="132">
        <f>+N128+N160+N188+N225</f>
        <v>0</v>
      </c>
      <c r="O232" s="131"/>
      <c r="P232" s="130" t="s">
        <v>96</v>
      </c>
      <c r="Q232" s="129"/>
      <c r="R232" s="129"/>
      <c r="S232" s="129"/>
      <c r="V232" s="6"/>
      <c r="W232" s="6"/>
      <c r="X232" s="6"/>
      <c r="Y232" s="5"/>
      <c r="Z232" s="6"/>
      <c r="AA232" s="5"/>
      <c r="AB232" s="6"/>
      <c r="AC232" s="5"/>
      <c r="AD232" s="6"/>
      <c r="AE232" s="5"/>
      <c r="AF232" s="6"/>
      <c r="AG232" s="5"/>
      <c r="AH232" s="6"/>
      <c r="AI232" s="5"/>
      <c r="AJ232" s="128"/>
    </row>
    <row r="233" spans="1:36" ht="6" customHeight="1">
      <c r="N233" s="10"/>
    </row>
    <row r="234" spans="1:36" ht="15.95" customHeight="1">
      <c r="A234" s="493" t="s">
        <v>486</v>
      </c>
      <c r="B234" s="493"/>
      <c r="C234" s="493"/>
      <c r="D234" s="493"/>
      <c r="E234" s="493"/>
      <c r="F234" s="493"/>
      <c r="G234" s="493"/>
      <c r="H234" s="493"/>
      <c r="I234" s="493"/>
      <c r="J234" s="493"/>
      <c r="K234" s="493"/>
      <c r="L234" s="493"/>
      <c r="M234" s="493"/>
      <c r="N234" s="493"/>
      <c r="O234" s="493"/>
      <c r="P234" s="493"/>
      <c r="Q234" s="493"/>
      <c r="R234" s="493"/>
      <c r="S234" s="493"/>
      <c r="T234" s="493"/>
      <c r="U234" s="493"/>
    </row>
  </sheetData>
  <sheetProtection sheet="1" objects="1" scenarios="1"/>
  <mergeCells count="78">
    <mergeCell ref="B84:F84"/>
    <mergeCell ref="C148:L148"/>
    <mergeCell ref="C227:U230"/>
    <mergeCell ref="D137:L137"/>
    <mergeCell ref="C169:N169"/>
    <mergeCell ref="C140:L140"/>
    <mergeCell ref="C180:K180"/>
    <mergeCell ref="C142:L142"/>
    <mergeCell ref="C144:L144"/>
    <mergeCell ref="C146:M146"/>
    <mergeCell ref="C152:L152"/>
    <mergeCell ref="D151:L151"/>
    <mergeCell ref="C150:L150"/>
    <mergeCell ref="D147:L147"/>
    <mergeCell ref="Q12:U12"/>
    <mergeCell ref="Q14:U14"/>
    <mergeCell ref="S16:U16"/>
    <mergeCell ref="I55:J55"/>
    <mergeCell ref="C136:G136"/>
    <mergeCell ref="C22:H22"/>
    <mergeCell ref="C18:K18"/>
    <mergeCell ref="C134:L134"/>
    <mergeCell ref="B64:F64"/>
    <mergeCell ref="B72:F72"/>
    <mergeCell ref="B58:F58"/>
    <mergeCell ref="B59:F59"/>
    <mergeCell ref="B61:F61"/>
    <mergeCell ref="B60:F60"/>
    <mergeCell ref="B65:F65"/>
    <mergeCell ref="B69:F69"/>
    <mergeCell ref="AM56:AR56"/>
    <mergeCell ref="C210:J210"/>
    <mergeCell ref="B91:F91"/>
    <mergeCell ref="C101:F101"/>
    <mergeCell ref="C102:F102"/>
    <mergeCell ref="C109:L109"/>
    <mergeCell ref="D143:L143"/>
    <mergeCell ref="D145:L145"/>
    <mergeCell ref="C105:J105"/>
    <mergeCell ref="B73:F73"/>
    <mergeCell ref="C208:J208"/>
    <mergeCell ref="B197:E197"/>
    <mergeCell ref="B71:F71"/>
    <mergeCell ref="B63:F63"/>
    <mergeCell ref="B70:F70"/>
    <mergeCell ref="C205:J205"/>
    <mergeCell ref="B45:H45"/>
    <mergeCell ref="G55:H55"/>
    <mergeCell ref="D149:L149"/>
    <mergeCell ref="D135:L135"/>
    <mergeCell ref="D139:L139"/>
    <mergeCell ref="D141:L141"/>
    <mergeCell ref="C138:L138"/>
    <mergeCell ref="B62:F62"/>
    <mergeCell ref="B88:F88"/>
    <mergeCell ref="A90:N90"/>
    <mergeCell ref="B77:F77"/>
    <mergeCell ref="B76:F76"/>
    <mergeCell ref="C74:F74"/>
    <mergeCell ref="B66:F66"/>
    <mergeCell ref="B68:F68"/>
    <mergeCell ref="B67:F67"/>
    <mergeCell ref="A234:U234"/>
    <mergeCell ref="C40:H40"/>
    <mergeCell ref="A8:U8"/>
    <mergeCell ref="Q28:U28"/>
    <mergeCell ref="Q30:U30"/>
    <mergeCell ref="Q26:R26"/>
    <mergeCell ref="D17:H17"/>
    <mergeCell ref="C13:H13"/>
    <mergeCell ref="C14:H14"/>
    <mergeCell ref="C15:H15"/>
    <mergeCell ref="C16:H16"/>
    <mergeCell ref="C26:H26"/>
    <mergeCell ref="C27:H27"/>
    <mergeCell ref="C28:H28"/>
    <mergeCell ref="C21:H21"/>
    <mergeCell ref="C23:H23"/>
  </mergeCells>
  <dataValidations count="55">
    <dataValidation type="decimal" operator="lessThanOrEqual" allowBlank="1" showInputMessage="1" showErrorMessage="1" errorTitle="ungültiger Wert" error="Fläche muss kleiner sein als die angemeldete Fläche!" sqref="K66" xr:uid="{B06C1303-9343-474C-A26E-39D62CB85F08}">
      <formula1>E65</formula1>
    </dataValidation>
    <dataValidation type="decimal" operator="lessThanOrEqual" allowBlank="1" showErrorMessage="1" errorTitle="valeur invalide" error="La surface doit être inférieure à la surface des bandes fleuries pour pollinisatuers annoncées !" promptTitle="Wert zu gross" prompt="Darf höchstens den Betrag der angemeldeten Nützlingsstreifen betragen" sqref="I66" xr:uid="{2FCA0EF1-8BF8-4325-A0AD-01A569550F7E}">
      <formula1>G65</formula1>
    </dataValidation>
    <dataValidation type="decimal" operator="lessThanOrEqual" allowBlank="1" showInputMessage="1" showErrorMessage="1" errorTitle="ungültiger Wert" error="La surface ne doit pas être plus grande que celle des terres ouvertes!" sqref="B136" xr:uid="{7B642D00-2965-4B67-807F-8ECAC7073B78}">
      <formula1>offene_Ackerfläche</formula1>
    </dataValidation>
    <dataValidation type="whole" operator="greaterThan" allowBlank="1" showInputMessage="1" showErrorMessage="1" errorTitle="ungültiger Wert" error="darf nicht älter als 7 Jahre sein" sqref="I199" xr:uid="{40319823-7A76-4E83-836C-B8C71F4C9FDD}">
      <formula1>C199-8</formula1>
    </dataValidation>
    <dataValidation type="whole" operator="greaterThan" allowBlank="1" showInputMessage="1" showErrorMessage="1" errorTitle="ungültiger Wert" error="darf nicht älter als 7 Jahre sein" sqref="E200:E202 I200:I202" xr:uid="{B915A28E-DBF8-4B25-BAF1-FB083A355C22}">
      <formula1>C199 -8</formula1>
    </dataValidation>
    <dataValidation type="whole" operator="greaterThan" allowBlank="1" showInputMessage="1" showErrorMessage="1" errorTitle="ungültiger Wert" error="darf nicht älter als 7 Jahre sein" sqref="E199" xr:uid="{2BDEED3A-F10F-43E2-B614-5D09F855A3D6}">
      <formula1>C199 - 8</formula1>
    </dataValidation>
    <dataValidation type="decimal" operator="lessThanOrEqual" allowBlank="1" showInputMessage="1" showErrorMessage="1" errorTitle="valeur invalide" error="La surface ne doit pas être plus grande que les prairies permanentes !" sqref="G70" xr:uid="{800B2FDD-AFED-4380-92C9-62167C2CFE68}">
      <formula1>DGL</formula1>
    </dataValidation>
    <dataValidation type="decimal" operator="lessThanOrEqual" allowBlank="1" showInputMessage="1" showErrorMessage="1" errorTitle="valeur invalide" error="La surface ne doit pas être plus grande que les &quot;autres surfaces&quot; (B18) !" sqref="G69" xr:uid="{86B39133-3C0D-4F28-ABE3-CB6DA6D9448C}">
      <formula1>übrige_Fläche</formula1>
    </dataValidation>
    <dataValidation type="decimal" operator="lessThan" allowBlank="1" showInputMessage="1" showErrorMessage="1" errorTitle="valeur invalide" error="La surface ne doit pas être plus grande que la SAU !" sqref="G67" xr:uid="{9D9C7183-773A-48A1-92BA-DD115737BEAA}">
      <formula1>LN</formula1>
    </dataValidation>
    <dataValidation type="decimal" operator="lessThanOrEqual" allowBlank="1" showInputMessage="1" showErrorMessage="1" errorTitle="falscher Wert" error="Fläche darf nicht grösser als LN sein!_x000a_" sqref="B193" xr:uid="{47259394-B4DB-4983-B078-C4AFB33FE807}">
      <formula1>LN</formula1>
    </dataValidation>
    <dataValidation type="decimal" showInputMessage="1" showErrorMessage="1" errorTitle="ungültiger Wert" error="Maximal 3 Punkte nach Absprache mit Gutachter einsetzen!" sqref="M217 M219 M223 M221" xr:uid="{576F9052-329B-4CAE-9DE1-8252A27B1D03}">
      <formula1>0</formula1>
      <formula2>3</formula2>
    </dataValidation>
    <dataValidation type="decimal" operator="lessThanOrEqual" allowBlank="1" showInputMessage="1" showErrorMessage="1" errorTitle="ungültiger Wert" error="Fläche muss kleiner sein als intensiv genutztes Grünland!" sqref="B180" xr:uid="{180B53B7-9BE5-4877-A209-F0D9726DF704}">
      <formula1>B177</formula1>
    </dataValidation>
    <dataValidation type="decimal" operator="lessThanOrEqual" allowBlank="1" showInputMessage="1" showErrorMessage="1" errorTitle="valeur invalide" error="La surface avec diversité des structures ne doit pas être plus grande que la surface total !" sqref="K58:K60 K68:K71" xr:uid="{996F0CC9-17B6-4957-9A58-4E211147AC28}">
      <formula1>G58</formula1>
    </dataValidation>
    <dataValidation type="whole" allowBlank="1" showInputMessage="1" showErrorMessage="1" errorTitle="valeur invalide" error="Veuillez saisir un nombre entier !" sqref="G73" xr:uid="{7CDF25D3-2649-4EA1-89A1-B7DE0407A13C}">
      <formula1>0</formula1>
      <formula2>9999</formula2>
    </dataValidation>
    <dataValidation type="decimal" operator="lessThanOrEqual" allowBlank="1" showInputMessage="1" showErrorMessage="1" errorTitle="valeur invalide" error="La surface ne doit pas être plus grande que les prairies permanentes !" sqref="G58" xr:uid="{A524F358-642E-46C6-AE54-9916DE4135C4}">
      <formula1>B14</formula1>
    </dataValidation>
    <dataValidation type="decimal" operator="lessThanOrEqual" allowBlank="1" showInputMessage="1" showErrorMessage="1" errorTitle="valeur invalide" error="La surface ne doit pas être plus grande que les prairies permanentes ! " sqref="G59" xr:uid="{B8355ABF-90EE-4A35-804C-92F06B9448BD}">
      <formula1>B14</formula1>
    </dataValidation>
    <dataValidation type="decimal" operator="lessThanOrEqual" allowBlank="1" showInputMessage="1" showErrorMessage="1" errorTitle="valeur invalide" error="La surface ne doit pas être plus grande que les prairies permanentes !" sqref="G60" xr:uid="{05F8B3CE-9340-4A03-9267-05BEF2A29FEA}">
      <formula1>B14</formula1>
    </dataValidation>
    <dataValidation type="decimal" operator="lessThanOrEqual" allowBlank="1" showInputMessage="1" showErrorMessage="1" errorTitle="valeur invalide" error="La surface ne doit pas être plus grande que la SAU !" sqref="G71:G72 G68" xr:uid="{E9693C68-B1F1-4B71-9F28-6FE07AAD55EC}">
      <formula1>LN</formula1>
    </dataValidation>
    <dataValidation type="decimal" operator="lessThanOrEqual" allowBlank="1" showInputMessage="1" showErrorMessage="1" errorTitle="falscher Wert" error="Wert darf höchsten so gross sein wie Dauergrünland+Streueflächen" sqref="H58:H60" xr:uid="{533EC5D2-0950-4C6B-BF6A-8B9A63CC728F}">
      <formula1>D17</formula1>
    </dataValidation>
    <dataValidation type="decimal" operator="lessThanOrEqual" allowBlank="1" showInputMessage="1" showErrorMessage="1" errorTitle="valeur invalide" error="La surface ne doit pas être plus grande que la surface des pâturages extensifs ou boisés !" sqref="I60" xr:uid="{8E7E1E91-9FF1-4DFF-AEB7-D46ADF8B6593}">
      <formula1>G60</formula1>
    </dataValidation>
    <dataValidation type="decimal" operator="lessThanOrEqual" allowBlank="1" showInputMessage="1" showErrorMessage="1" errorTitle="valeur invalide" error="La surface ne doit pas être plus grande que la surface des prairies extensives !" sqref="I58" xr:uid="{A1964EFD-EF3A-4D7D-A419-2E03B1DDD98E}">
      <formula1>G58</formula1>
    </dataValidation>
    <dataValidation type="decimal" operator="lessThanOrEqual" allowBlank="1" showInputMessage="1" showErrorMessage="1" errorTitle="valeur invalide" error="La surface ne doit pas être plus grande que la surface des prairies peu intensives !" sqref="I59" xr:uid="{7B74ED5E-C604-4A4B-BDCC-E94D95FA0893}">
      <formula1>G59</formula1>
    </dataValidation>
    <dataValidation type="decimal" operator="lessThanOrEqual" allowBlank="1" showInputMessage="1" showErrorMessage="1" errorTitle="valeur invalide" error="La surface ne doit pas être plus grande que la surface des haies, bosquets et berges boiseées" sqref="I68" xr:uid="{FF90D24F-5AF6-47C6-84EE-B3189F47C05F}">
      <formula1>G68</formula1>
    </dataValidation>
    <dataValidation type="whole" operator="lessThanOrEqual" allowBlank="1" showInputMessage="1" showErrorMessage="1" errorTitle="valeur invalide" error="Le nombre ne doit pas être plus grande que le nombre d'arbres !" sqref="I73" xr:uid="{3D1911EC-DE9A-41F6-AD38-16D7FFE2F6EB}">
      <formula1>G73</formula1>
    </dataValidation>
    <dataValidation type="decimal" operator="lessThanOrEqual" allowBlank="1" showInputMessage="1" showErrorMessage="1" errorTitle="valeur invalide" error="La surface ne doit pas être plus grande que la surface des surfaces viticoles présentant une biodiversité naturelle !" sqref="I71" xr:uid="{25542A35-73B4-4B22-9FF2-0252F6B70B16}">
      <formula1>G71</formula1>
    </dataValidation>
    <dataValidation type="decimal" operator="lessThanOrEqual" allowBlank="1" showInputMessage="1" showErrorMessage="1" errorTitle="valeur invalide" error="La surface ne doit pas dépasser celle des prairies extensives et peu intensives, des prairies riveraines et des surfaces à litière !" sqref="B169" xr:uid="{0B873F8F-70DA-46DC-893C-5D81A0E7F3F9}">
      <formula1>SUM(G58:G59, G69:G70)</formula1>
    </dataValidation>
    <dataValidation type="decimal" operator="lessThanOrEqual" allowBlank="1" showInputMessage="1" showErrorMessage="1" errorTitle="valeur invalide" error="La surface ne doit pas dépasser celle des prairies extensives et peu intensives, des prairies riveraines et des surfaces à litière !" sqref="B167" xr:uid="{5AA6AC90-DBCE-491A-876D-347D149CC623}">
      <formula1>SUM(G58:G59, G69:G70)</formula1>
    </dataValidation>
    <dataValidation type="decimal" operator="lessThanOrEqual" allowBlank="1" showInputMessage="1" showErrorMessage="1" errorTitle="valeur invalide" error="La surface ne doit pas dépasser celle des prairies extensives et peu intensives, des prairies riveraines et des surfaces à litière !" sqref="B165" xr:uid="{FF8DC50B-ED47-409E-B104-327BFA3638CF}">
      <formula1>SUM(G58:G59, G69:G70)</formula1>
    </dataValidation>
    <dataValidation type="whole" allowBlank="1" showInputMessage="1" showErrorMessage="1" sqref="B212" xr:uid="{85B92A41-2BCD-4FDC-B712-AC944F2078DB}">
      <formula1>0</formula1>
      <formula2>1000</formula2>
    </dataValidation>
    <dataValidation type="whole" operator="lessThanOrEqual" allowBlank="1" showInputMessage="1" showErrorMessage="1" errorTitle="valeur invalide" error="le nombre de surfaces &gt; 25a ne doit pas dépasser la surface des SCE sur terres assolées  mentionnée sous la rubrique 5.17.2 et/ou ganze Zahl angeben" sqref="B105" xr:uid="{59159E70-916B-4960-B4C7-CF6C72FFC03B}">
      <formula1>+I91/0.25</formula1>
    </dataValidation>
    <dataValidation type="whole" operator="greaterThanOrEqual" showInputMessage="1" showErrorMessage="1" errorTitle="ungültiger Wert" error="le nombre de surfaces &gt; 25a ne doit pas dépasser la surface totale des SCE avec qualité sur prairies permanentes et surfaces à litière mentionnée sous la rubrique 5 !" sqref="B123" xr:uid="{6B90B3E3-1118-41E1-B455-67E5AE7B198F}">
      <formula1>0</formula1>
    </dataValidation>
    <dataValidation type="whole" allowBlank="1" showInputMessage="1" showErrorMessage="1" errorTitle="ungültiger Wert" error="le nombre de surfaces &gt; 10_x000a_a ne doit pas dépasser la surface des SCE sur terres assolées  mentionnée sous la rubrique 5.17.2 et/ou ganze Zahl angeben" sqref="B119" xr:uid="{EFBBFEDB-E25D-4C19-97B7-2B71F7502F3F}">
      <formula1>0</formula1>
      <formula2>I91/0.1</formula2>
    </dataValidation>
    <dataValidation operator="lessThanOrEqual" allowBlank="1" showInputMessage="1" showErrorMessage="1" errorTitle="ungültiger Wert" error="Fläche darf nicht grösser als LN abzüglich Dauergrünland und offener Ackerfläche sein!" sqref="B18" xr:uid="{E01BC81A-D8B5-41E6-8CEE-E19D290C1E09}"/>
    <dataValidation type="decimal" operator="lessThanOrEqual" allowBlank="1" showInputMessage="1" showErrorMessage="1" errorTitle="valeur invalide" error="La surface ne doit pas être plus grande que les terres ouvertes !" sqref="G61:G65" xr:uid="{DC5A9C2B-C300-4D48-AD0E-7380EC542CC6}">
      <formula1>offene_Ackerfläche</formula1>
    </dataValidation>
    <dataValidation type="decimal" operator="lessThanOrEqual" allowBlank="1" showInputMessage="1" showErrorMessage="1" errorTitle="valeur invalide" error="La surface ne doit pas dépasser la surface totale des SCE, arbres compris (5.13)!" sqref="B101:B102" xr:uid="{0F4F2B68-D3EC-4AA2-87D6-55E04A51D0E0}">
      <formula1>öAF_mit_Bäumen</formula1>
    </dataValidation>
    <dataValidation type="whole" allowBlank="1" showInputMessage="1" errorTitle="ungültiger Wert" error="Bitte ganze Zahl eingeben!_x000a_" sqref="B50" xr:uid="{78F32075-F183-4520-8A4F-9EDE5C3E1E29}">
      <formula1>1</formula1>
      <formula2>99</formula2>
    </dataValidation>
    <dataValidation type="decimal" operator="lessThanOrEqual" allowBlank="1" showInputMessage="1" showErrorMessage="1" errorTitle="valeur invalide" error="La surface ne doit pas être plus grande que celle des terres ouvertes!" sqref="B152 B134 B138 B140 B142 B144 B146 B148" xr:uid="{E5C95886-537D-44EB-8369-592C817BC0AF}">
      <formula1>offene_Ackerfläche</formula1>
    </dataValidation>
    <dataValidation type="decimal" operator="lessThanOrEqual" allowBlank="1" showInputMessage="1" showErrorMessage="1" errorTitle="ungültiger Wert" error="Fläche darf höchstens so gross sein wie die Gesamtfläche des ökologischen Ausgleichs!" sqref="B115" xr:uid="{5159DDA2-A96C-4A1A-9064-DF77594F1609}">
      <formula1>öAF_ohne_Bäume</formula1>
    </dataValidation>
    <dataValidation type="decimal" operator="lessThanOrEqual" allowBlank="1" showInputMessage="1" showErrorMessage="1" errorTitle="valeur invalide" error="La surface ne doit pas être plus grande que la SAU!" sqref="B28" xr:uid="{518CC350-DC76-432B-98C6-14AF0DF8EFD5}">
      <formula1>B13</formula1>
    </dataValidation>
    <dataValidation type="decimal" operator="lessThanOrEqual" allowBlank="1" showInputMessage="1" showErrorMessage="1" errorTitle="valeur invalide" error="La surface ne doit pas être plus grande que la SAU!" sqref="B27" xr:uid="{A6B36394-A63B-4AB3-A6CB-84ECBA681CDF}">
      <formula1>B13</formula1>
    </dataValidation>
    <dataValidation type="decimal" operator="lessThanOrEqual" allowBlank="1" showInputMessage="1" showErrorMessage="1" errorTitle="valeur invalide" error="La somme des points 1.1.1 à 1.1.3 ne doit pas dépasser la SAU" sqref="B14" xr:uid="{CCF335FA-5F07-4EED-846C-81B074F870A0}">
      <formula1>B13-SUM(B15,B16)</formula1>
    </dataValidation>
    <dataValidation type="decimal" operator="lessThanOrEqual" allowBlank="1" showInputMessage="1" showErrorMessage="1" errorTitle="valeur invalide" error="La surface ne doit pas dépasser celle des prairies extensives et peu intensives et des pâturages extensifs ou boisés !" sqref="B171" xr:uid="{2AAFCFB9-6D27-4BB5-8514-F7D50C3AB527}">
      <formula1>SUM(G58:G60)</formula1>
    </dataValidation>
    <dataValidation type="decimal" operator="lessThanOrEqual" allowBlank="1" showInputMessage="1" showErrorMessage="1" errorTitle="falscher Wert" error="Wert darf nicht grösser sein als Dauergrünland + Extensivweide - öAF auf Dauergrünland_x000a__x000a_" sqref="B182" xr:uid="{A57257FD-BE4D-4288-B4FA-7C23B30967E3}">
      <formula1>B175</formula1>
    </dataValidation>
    <dataValidation type="decimal" operator="lessThanOrEqual" allowBlank="1" showInputMessage="1" showErrorMessage="1" errorTitle="valeur invalide" error="La somme des points 1.1.1 à 1.1.3 ne doit pas dépasser la SAU" sqref="B16" xr:uid="{29188663-D9EC-4C7E-8E70-9D4358203D9F}">
      <formula1>B13-SUM(B14,B15)</formula1>
    </dataValidation>
    <dataValidation type="decimal" operator="lessThanOrEqual" allowBlank="1" showInputMessage="1" showErrorMessage="1" errorTitle="valeur invalide" error="La somme des points 1.1.1 à 1.1.3 ne doit pas dépasser la SAU" sqref="B15" xr:uid="{F71C8B51-BA9F-4883-A2E8-589DC9DB6216}">
      <formula1>B13-SUM(B14,B16)</formula1>
    </dataValidation>
    <dataValidation type="decimal" operator="lessThanOrEqual" allowBlank="1" showInputMessage="1" showErrorMessage="1" errorTitle="valeur invalide" error="La surface doit être plus petite que celles des prairies intensives permanentes!" sqref="B178" xr:uid="{6C01732E-5341-4711-BD88-CD101B33A2AD}">
      <formula1>B175</formula1>
    </dataValidation>
    <dataValidation type="decimal" operator="lessThanOrEqual" allowBlank="1" showInputMessage="1" showErrorMessage="1" errorTitle="valeur invalide" error="La surface ne doit pas être plus grande que celle des terres assolées!" sqref="I70" xr:uid="{1205CAB9-7B14-41DE-B8C3-4E4CD01F2123}">
      <formula1>Ackerfläche</formula1>
    </dataValidation>
    <dataValidation type="decimal" operator="lessThanOrEqual" allowBlank="1" showInputMessage="1" showErrorMessage="1" errorTitle="valeur invalide" error="La surface doit être plus petite que celles des prairies intensives permanentes!" sqref="B176" xr:uid="{2726E7B2-727E-4B2A-86C9-0E68C798F982}">
      <formula1>B175</formula1>
    </dataValidation>
    <dataValidation type="decimal" operator="greaterThanOrEqual" showInputMessage="1" showErrorMessage="1" errorTitle=" valeur invalide" error="doit être inférieure à prairies permanaentes + terres ouvertes + prairies artificielles" sqref="B13" xr:uid="{F7AE540F-D6D8-4009-BE78-09F369A99C1D}">
      <formula1>M16</formula1>
    </dataValidation>
    <dataValidation operator="lessThanOrEqual" allowBlank="1" showInputMessage="1" showErrorMessage="1" errorTitle="ungültiger Wert" sqref="B208 B210 K199:K202 G199:G202 I97" xr:uid="{6A9E99ED-07F5-487C-A1CD-5E25BE5E3CAF}"/>
    <dataValidation operator="lessThanOrEqual" allowBlank="1" showInputMessage="1" showErrorMessage="1" errorTitle="ungültiger Wert" error="der Wert darf höchstens so gross sein wie die Gesamtfläche des ökologischen Ausgleichs" sqref="B204 B207 B196:B197" xr:uid="{82E71754-5A63-40A5-94A7-EFC4D51DB6AB}"/>
    <dataValidation type="whole" allowBlank="1" showInputMessage="1" showErrorMessage="1" errorTitle="valeur invalide" error="Veuillez entrer un nombre entier!" sqref="B40" xr:uid="{0051C2E0-E5AE-40C3-AFF8-74EA1545463F}">
      <formula1>1</formula1>
      <formula2>999</formula2>
    </dataValidation>
    <dataValidation type="whole" operator="lessThanOrEqual" allowBlank="1" showInputMessage="1" showErrorMessage="1" errorTitle="valeur invalide" error="le nombre de surfaces &gt; 25a ne doit pas dépasser la surface des SCE sur prairies permanentes et les surfaces à litière avec qualité mentionnée sous la rubrique 5.16" sqref="B109" xr:uid="{07415A5D-730F-4718-8190-248000296F2F}">
      <formula1>+(SUM(I58:K60)+SUM(I68:K69))/0.25</formula1>
    </dataValidation>
    <dataValidation operator="lessThanOrEqual" allowBlank="1" showInputMessage="1" showErrorMessage="1" errorTitle="ungültiger Wert" error="Summe von 1.1.1 bis 1.1.5 darf nicht grösser sien als LN" sqref="B22" xr:uid="{3A92A995-A007-4157-8D66-67299BCDCB07}"/>
    <dataValidation type="decimal" operator="lessThanOrEqual" allowBlank="1" showInputMessage="1" showErrorMessage="1" errorTitle="ungültiger Wert" error="Fläche darf nicht grösser sein als offene Ackerfläche!" sqref="B150" xr:uid="{C79FBE2E-988A-491C-9D40-DE3AE105EA6D}">
      <formula1>offene_Ackerfläche</formula1>
    </dataValidation>
  </dataValidations>
  <pageMargins left="0.47244094488188981" right="0.19685039370078741" top="0.31496062992125984" bottom="0.15748031496062992" header="0.31496062992125984" footer="0.15748031496062992"/>
  <pageSetup paperSize="9" scale="54" fitToHeight="0" orientation="portrait" r:id="rId1"/>
  <headerFooter alignWithMargins="0">
    <oddFooter>&amp;Cpage &amp;P</oddFooter>
  </headerFooter>
  <rowBreaks count="1" manualBreakCount="1">
    <brk id="128"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5162" r:id="rId4" name="Check Box 42">
              <controlPr locked="0" defaultSize="0" autoFill="0" autoLine="0" autoPict="0">
                <anchor moveWithCells="1">
                  <from>
                    <xdr:col>1</xdr:col>
                    <xdr:colOff>47625</xdr:colOff>
                    <xdr:row>46</xdr:row>
                    <xdr:rowOff>114300</xdr:rowOff>
                  </from>
                  <to>
                    <xdr:col>2</xdr:col>
                    <xdr:colOff>457200</xdr:colOff>
                    <xdr:row>47</xdr:row>
                    <xdr:rowOff>57150</xdr:rowOff>
                  </to>
                </anchor>
              </controlPr>
            </control>
          </mc:Choice>
        </mc:AlternateContent>
        <mc:AlternateContent xmlns:mc="http://schemas.openxmlformats.org/markup-compatibility/2006">
          <mc:Choice Requires="x14">
            <control shapeId="5163" r:id="rId5" name="Check Box 43">
              <controlPr locked="0" defaultSize="0" autoFill="0" autoLine="0" autoPict="0">
                <anchor moveWithCells="1">
                  <from>
                    <xdr:col>4</xdr:col>
                    <xdr:colOff>19050</xdr:colOff>
                    <xdr:row>46</xdr:row>
                    <xdr:rowOff>114300</xdr:rowOff>
                  </from>
                  <to>
                    <xdr:col>8</xdr:col>
                    <xdr:colOff>0</xdr:colOff>
                    <xdr:row>47</xdr:row>
                    <xdr:rowOff>66675</xdr:rowOff>
                  </to>
                </anchor>
              </controlPr>
            </control>
          </mc:Choice>
        </mc:AlternateContent>
        <mc:AlternateContent xmlns:mc="http://schemas.openxmlformats.org/markup-compatibility/2006">
          <mc:Choice Requires="x14">
            <control shapeId="5164" r:id="rId6" name="Check Box 44">
              <controlPr locked="0" defaultSize="0" autoFill="0" autoLine="0" autoPict="0">
                <anchor moveWithCells="1">
                  <from>
                    <xdr:col>8</xdr:col>
                    <xdr:colOff>314325</xdr:colOff>
                    <xdr:row>46</xdr:row>
                    <xdr:rowOff>114300</xdr:rowOff>
                  </from>
                  <to>
                    <xdr:col>10</xdr:col>
                    <xdr:colOff>428625</xdr:colOff>
                    <xdr:row>47</xdr:row>
                    <xdr:rowOff>57150</xdr:rowOff>
                  </to>
                </anchor>
              </controlPr>
            </control>
          </mc:Choice>
        </mc:AlternateContent>
        <mc:AlternateContent xmlns:mc="http://schemas.openxmlformats.org/markup-compatibility/2006">
          <mc:Choice Requires="x14">
            <control shapeId="5165" r:id="rId7" name="Check Box 45">
              <controlPr locked="0" defaultSize="0" autoFill="0" autoLine="0" autoPict="0">
                <anchor moveWithCells="1">
                  <from>
                    <xdr:col>1</xdr:col>
                    <xdr:colOff>47625</xdr:colOff>
                    <xdr:row>47</xdr:row>
                    <xdr:rowOff>38100</xdr:rowOff>
                  </from>
                  <to>
                    <xdr:col>1</xdr:col>
                    <xdr:colOff>638175</xdr:colOff>
                    <xdr:row>48</xdr:row>
                    <xdr:rowOff>57150</xdr:rowOff>
                  </to>
                </anchor>
              </controlPr>
            </control>
          </mc:Choice>
        </mc:AlternateContent>
        <mc:AlternateContent xmlns:mc="http://schemas.openxmlformats.org/markup-compatibility/2006">
          <mc:Choice Requires="x14">
            <control shapeId="5166" r:id="rId8" name="Check Box 46">
              <controlPr locked="0" defaultSize="0" autoFill="0" autoLine="0" autoPict="0" altText="Gemüsebau">
                <anchor moveWithCells="1">
                  <from>
                    <xdr:col>1</xdr:col>
                    <xdr:colOff>47625</xdr:colOff>
                    <xdr:row>48</xdr:row>
                    <xdr:rowOff>47625</xdr:rowOff>
                  </from>
                  <to>
                    <xdr:col>3</xdr:col>
                    <xdr:colOff>285750</xdr:colOff>
                    <xdr:row>49</xdr:row>
                    <xdr:rowOff>76200</xdr:rowOff>
                  </to>
                </anchor>
              </controlPr>
            </control>
          </mc:Choice>
        </mc:AlternateContent>
        <mc:AlternateContent xmlns:mc="http://schemas.openxmlformats.org/markup-compatibility/2006">
          <mc:Choice Requires="x14">
            <control shapeId="5167" r:id="rId9" name="Check Box 47">
              <controlPr locked="0" defaultSize="0" autoFill="0" autoLine="0" autoPict="0" altText="Rebbau">
                <anchor moveWithCells="1">
                  <from>
                    <xdr:col>8</xdr:col>
                    <xdr:colOff>314325</xdr:colOff>
                    <xdr:row>47</xdr:row>
                    <xdr:rowOff>38100</xdr:rowOff>
                  </from>
                  <to>
                    <xdr:col>10</xdr:col>
                    <xdr:colOff>333375</xdr:colOff>
                    <xdr:row>48</xdr:row>
                    <xdr:rowOff>57150</xdr:rowOff>
                  </to>
                </anchor>
              </controlPr>
            </control>
          </mc:Choice>
        </mc:AlternateContent>
        <mc:AlternateContent xmlns:mc="http://schemas.openxmlformats.org/markup-compatibility/2006">
          <mc:Choice Requires="x14">
            <control shapeId="5168" r:id="rId10" name="Check Box 48">
              <controlPr locked="0" defaultSize="0" autoFill="0" autoLine="0" autoPict="0">
                <anchor moveWithCells="1">
                  <from>
                    <xdr:col>4</xdr:col>
                    <xdr:colOff>19050</xdr:colOff>
                    <xdr:row>48</xdr:row>
                    <xdr:rowOff>38100</xdr:rowOff>
                  </from>
                  <to>
                    <xdr:col>8</xdr:col>
                    <xdr:colOff>266700</xdr:colOff>
                    <xdr:row>49</xdr:row>
                    <xdr:rowOff>66675</xdr:rowOff>
                  </to>
                </anchor>
              </controlPr>
            </control>
          </mc:Choice>
        </mc:AlternateContent>
        <mc:AlternateContent xmlns:mc="http://schemas.openxmlformats.org/markup-compatibility/2006">
          <mc:Choice Requires="x14">
            <control shapeId="5169" r:id="rId11" name="Check Box 49">
              <controlPr locked="0" defaultSize="0" autoFill="0" autoLine="0" autoPict="0" altText="Gemüsebau">
                <anchor moveWithCells="1">
                  <from>
                    <xdr:col>8</xdr:col>
                    <xdr:colOff>314325</xdr:colOff>
                    <xdr:row>48</xdr:row>
                    <xdr:rowOff>28575</xdr:rowOff>
                  </from>
                  <to>
                    <xdr:col>12</xdr:col>
                    <xdr:colOff>171450</xdr:colOff>
                    <xdr:row>49</xdr:row>
                    <xdr:rowOff>57150</xdr:rowOff>
                  </to>
                </anchor>
              </controlPr>
            </control>
          </mc:Choice>
        </mc:AlternateContent>
        <mc:AlternateContent xmlns:mc="http://schemas.openxmlformats.org/markup-compatibility/2006">
          <mc:Choice Requires="x14">
            <control shapeId="5170" r:id="rId12" name="Check Box 50">
              <controlPr locked="0" defaultSize="0" autoFill="0" autoLine="0" autoPict="0">
                <anchor moveWithCells="1">
                  <from>
                    <xdr:col>4</xdr:col>
                    <xdr:colOff>19050</xdr:colOff>
                    <xdr:row>47</xdr:row>
                    <xdr:rowOff>38100</xdr:rowOff>
                  </from>
                  <to>
                    <xdr:col>8</xdr:col>
                    <xdr:colOff>238125</xdr:colOff>
                    <xdr:row>48</xdr:row>
                    <xdr:rowOff>66675</xdr:rowOff>
                  </to>
                </anchor>
              </controlPr>
            </control>
          </mc:Choice>
        </mc:AlternateContent>
        <mc:AlternateContent xmlns:mc="http://schemas.openxmlformats.org/markup-compatibility/2006">
          <mc:Choice Requires="x14">
            <control shapeId="5171" r:id="rId13" name="Check Box 51">
              <controlPr locked="0" defaultSize="0" autoFill="0" autoLine="0" autoPict="0">
                <anchor moveWithCells="1">
                  <from>
                    <xdr:col>1</xdr:col>
                    <xdr:colOff>209550</xdr:colOff>
                    <xdr:row>204</xdr:row>
                    <xdr:rowOff>0</xdr:rowOff>
                  </from>
                  <to>
                    <xdr:col>1</xdr:col>
                    <xdr:colOff>514350</xdr:colOff>
                    <xdr:row>205</xdr:row>
                    <xdr:rowOff>19050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C264D1-CB7A-43D8-94C5-4E61FC394936}">
  <sheetPr>
    <tabColor theme="6" tint="0.39997558519241921"/>
  </sheetPr>
  <dimension ref="A1:CA234"/>
  <sheetViews>
    <sheetView showOutlineSymbols="0" zoomScale="140" zoomScaleNormal="140" zoomScaleSheetLayoutView="100" workbookViewId="0">
      <pane xSplit="1" ySplit="1" topLeftCell="B2" activePane="bottomRight" state="frozen"/>
      <selection pane="topRight" activeCell="B1" sqref="B1"/>
      <selection pane="bottomLeft" activeCell="A2" sqref="A2"/>
      <selection pane="bottomRight" activeCell="B13" sqref="B13"/>
    </sheetView>
  </sheetViews>
  <sheetFormatPr baseColWidth="10" defaultColWidth="11.5703125" defaultRowHeight="16.5" outlineLevelRow="1"/>
  <cols>
    <col min="1" max="1" width="5" style="11" customWidth="1"/>
    <col min="2" max="2" width="11.28515625" style="4" customWidth="1"/>
    <col min="3" max="3" width="8.5703125" style="4" customWidth="1"/>
    <col min="4" max="4" width="9.5703125" style="4" customWidth="1"/>
    <col min="5" max="5" width="8.140625" style="4" customWidth="1"/>
    <col min="6" max="6" width="1.140625" style="4" customWidth="1"/>
    <col min="7" max="7" width="8.5703125" style="4" customWidth="1"/>
    <col min="8" max="8" width="1.140625" style="4" customWidth="1"/>
    <col min="9" max="9" width="8.85546875" style="4" customWidth="1"/>
    <col min="10" max="10" width="1.140625" style="4" customWidth="1"/>
    <col min="11" max="11" width="9.7109375" style="4" customWidth="1"/>
    <col min="12" max="12" width="1.140625" style="4" customWidth="1"/>
    <col min="13" max="13" width="8.85546875" style="9" customWidth="1"/>
    <col min="14" max="14" width="8.85546875" style="10" customWidth="1"/>
    <col min="15" max="17" width="8.5703125" style="9" customWidth="1"/>
    <col min="18" max="20" width="7" style="9" customWidth="1"/>
    <col min="21" max="21" width="8.140625" style="8" customWidth="1"/>
    <col min="22" max="23" width="8.140625" style="7" hidden="1" customWidth="1"/>
    <col min="24" max="24" width="8.140625" style="6" hidden="1" customWidth="1"/>
    <col min="25" max="25" width="8.140625" style="5" hidden="1" customWidth="1"/>
    <col min="26" max="26" width="8.140625" style="6" hidden="1" customWidth="1"/>
    <col min="27" max="27" width="8.140625" style="5" hidden="1" customWidth="1"/>
    <col min="28" max="28" width="8.140625" style="6" hidden="1" customWidth="1"/>
    <col min="29" max="29" width="8.140625" style="5" hidden="1" customWidth="1"/>
    <col min="30" max="30" width="8.140625" style="6" hidden="1" customWidth="1"/>
    <col min="31" max="31" width="8.140625" style="5" hidden="1" customWidth="1"/>
    <col min="32" max="32" width="8.140625" style="6" hidden="1" customWidth="1"/>
    <col min="33" max="33" width="8.140625" style="5" hidden="1" customWidth="1"/>
    <col min="34" max="34" width="8.140625" style="6" hidden="1" customWidth="1"/>
    <col min="35" max="35" width="8.140625" style="5" hidden="1" customWidth="1"/>
    <col min="36" max="37" width="8.140625" style="14" customWidth="1"/>
    <col min="38" max="38" width="12.28515625" style="14" customWidth="1"/>
    <col min="39" max="39" width="11.140625" style="14" customWidth="1"/>
    <col min="40" max="41" width="5.7109375" style="14" customWidth="1"/>
    <col min="42" max="80" width="5.7109375" style="4" customWidth="1"/>
    <col min="81" max="16384" width="11.5703125" style="4"/>
  </cols>
  <sheetData>
    <row r="1" spans="1:35" s="258" customFormat="1" ht="24.95" customHeight="1">
      <c r="A1" s="462" t="s">
        <v>271</v>
      </c>
      <c r="B1" s="463"/>
      <c r="C1" s="464"/>
      <c r="D1" s="463"/>
      <c r="E1" s="463"/>
      <c r="F1" s="463"/>
      <c r="G1" s="463"/>
      <c r="H1" s="463"/>
      <c r="I1" s="463"/>
      <c r="J1" s="465"/>
      <c r="K1" s="465" t="s">
        <v>97</v>
      </c>
      <c r="L1" s="465"/>
      <c r="M1" s="466">
        <f>+N232</f>
        <v>0</v>
      </c>
      <c r="N1" s="467"/>
      <c r="O1" s="463"/>
      <c r="P1" s="463"/>
      <c r="Q1" s="463"/>
      <c r="R1" s="463"/>
      <c r="S1" s="463"/>
      <c r="T1" s="463"/>
      <c r="U1" s="468">
        <f>+IF(LN&lt;&gt;1,LN) + SUM(B14:B16) + SUM(B27:B28) + B31 + IF(Nutzungsparzellen&gt;1,Nutzungsparzellen) + B50 + SUM(F58:L73) + SUM(B100:B102) + SUM(B105) + SUM(B119:B171) + SUM(B176:B180) + SUM(B193:B218) + IF(B205,1,0)</f>
        <v>0</v>
      </c>
      <c r="V1" s="258" t="s">
        <v>41</v>
      </c>
      <c r="W1" s="258" t="s">
        <v>42</v>
      </c>
      <c r="X1" s="258" t="s">
        <v>29</v>
      </c>
      <c r="Y1" s="258" t="s">
        <v>30</v>
      </c>
      <c r="Z1" s="258" t="s">
        <v>31</v>
      </c>
      <c r="AA1" s="258" t="s">
        <v>32</v>
      </c>
      <c r="AB1" s="258" t="s">
        <v>33</v>
      </c>
      <c r="AC1" s="258" t="s">
        <v>34</v>
      </c>
      <c r="AD1" s="258" t="s">
        <v>35</v>
      </c>
      <c r="AE1" s="258" t="s">
        <v>36</v>
      </c>
      <c r="AF1" s="258" t="s">
        <v>37</v>
      </c>
      <c r="AG1" s="258" t="s">
        <v>38</v>
      </c>
      <c r="AH1" s="258" t="s">
        <v>39</v>
      </c>
      <c r="AI1" s="258" t="s">
        <v>40</v>
      </c>
    </row>
    <row r="2" spans="1:35" s="14" customFormat="1" ht="51" customHeight="1">
      <c r="A2" s="11"/>
      <c r="B2" s="75"/>
      <c r="C2" s="75"/>
      <c r="G2" s="37"/>
      <c r="I2" s="75"/>
      <c r="J2" s="75"/>
      <c r="K2" s="75"/>
      <c r="L2" s="75"/>
      <c r="M2" s="31"/>
      <c r="N2" s="8"/>
      <c r="O2" s="124"/>
      <c r="P2" s="124"/>
      <c r="Q2" s="124"/>
      <c r="R2" s="124"/>
      <c r="S2" s="124"/>
      <c r="T2" s="124"/>
      <c r="U2" s="75"/>
      <c r="V2" s="121"/>
      <c r="W2" s="121"/>
      <c r="X2" s="6"/>
      <c r="Y2" s="5"/>
      <c r="Z2" s="6"/>
      <c r="AA2" s="5"/>
      <c r="AB2" s="6"/>
      <c r="AC2" s="5"/>
      <c r="AD2" s="6"/>
      <c r="AE2" s="5"/>
      <c r="AF2" s="6"/>
      <c r="AG2" s="5"/>
      <c r="AH2" s="6"/>
      <c r="AI2" s="5"/>
    </row>
    <row r="3" spans="1:35" s="4" customFormat="1" ht="6.6" customHeight="1">
      <c r="A3" s="11"/>
      <c r="D3" s="13"/>
      <c r="E3" s="13"/>
      <c r="F3" s="13"/>
      <c r="G3" s="13"/>
      <c r="H3" s="13"/>
      <c r="M3" s="9"/>
      <c r="N3" s="9"/>
      <c r="O3" s="9"/>
      <c r="P3" s="9"/>
      <c r="Q3" s="9"/>
      <c r="R3" s="9"/>
      <c r="S3" s="9"/>
      <c r="T3" s="9"/>
      <c r="U3" s="8"/>
      <c r="V3" s="7"/>
      <c r="W3" s="7"/>
      <c r="X3" s="6"/>
      <c r="Y3" s="5"/>
      <c r="Z3" s="6"/>
      <c r="AA3" s="5"/>
      <c r="AB3" s="6"/>
      <c r="AC3" s="5"/>
      <c r="AD3" s="6"/>
      <c r="AE3" s="5"/>
      <c r="AF3" s="6"/>
      <c r="AG3" s="5"/>
      <c r="AH3" s="6"/>
      <c r="AI3" s="5"/>
    </row>
    <row r="4" spans="1:35" s="14" customFormat="1" ht="15.95" customHeight="1">
      <c r="A4" s="125" t="s">
        <v>242</v>
      </c>
      <c r="C4" s="75"/>
      <c r="D4" s="75"/>
      <c r="E4" s="75"/>
      <c r="F4" s="75"/>
      <c r="G4" s="75"/>
      <c r="H4" s="75"/>
      <c r="I4" s="75"/>
      <c r="J4" s="75"/>
      <c r="K4" s="75"/>
      <c r="L4" s="75"/>
      <c r="M4" s="31"/>
      <c r="N4" s="8"/>
      <c r="O4" s="124"/>
      <c r="P4" s="124"/>
      <c r="Q4" s="124"/>
      <c r="R4" s="124"/>
      <c r="S4" s="124"/>
      <c r="T4" s="123"/>
      <c r="U4" s="122" t="s">
        <v>490</v>
      </c>
      <c r="V4" s="121"/>
      <c r="W4" s="121"/>
      <c r="X4" s="6"/>
      <c r="Y4" s="5"/>
      <c r="Z4" s="6"/>
      <c r="AA4" s="5"/>
      <c r="AB4" s="6"/>
      <c r="AC4" s="5"/>
      <c r="AD4" s="6"/>
      <c r="AE4" s="5"/>
      <c r="AF4" s="6"/>
      <c r="AG4" s="5"/>
      <c r="AH4" s="6"/>
      <c r="AI4" s="5"/>
    </row>
    <row r="5" spans="1:35" s="4" customFormat="1" ht="6.6" customHeight="1">
      <c r="A5" s="11"/>
      <c r="D5" s="13"/>
      <c r="E5" s="13"/>
      <c r="F5" s="13"/>
      <c r="G5" s="13"/>
      <c r="H5" s="13"/>
      <c r="M5" s="9"/>
      <c r="N5" s="9"/>
      <c r="O5" s="9"/>
      <c r="P5" s="9"/>
      <c r="Q5" s="9"/>
      <c r="R5" s="9"/>
      <c r="S5" s="9"/>
      <c r="T5" s="9"/>
      <c r="U5" s="8"/>
      <c r="V5" s="7"/>
      <c r="W5" s="7"/>
      <c r="X5" s="6"/>
      <c r="Y5" s="5"/>
      <c r="Z5" s="6"/>
      <c r="AA5" s="5"/>
      <c r="AB5" s="6"/>
      <c r="AC5" s="5"/>
      <c r="AD5" s="6"/>
      <c r="AE5" s="5"/>
      <c r="AF5" s="6"/>
      <c r="AG5" s="5"/>
      <c r="AH5" s="6"/>
      <c r="AI5" s="5"/>
    </row>
    <row r="6" spans="1:35" s="4" customFormat="1" ht="15.95" customHeight="1">
      <c r="A6" s="120" t="s">
        <v>270</v>
      </c>
      <c r="M6" s="9"/>
      <c r="N6" s="10"/>
      <c r="U6" s="119" t="s">
        <v>269</v>
      </c>
      <c r="V6" s="6"/>
      <c r="W6" s="6"/>
      <c r="X6" s="6"/>
      <c r="Y6" s="5"/>
      <c r="Z6" s="6"/>
      <c r="AA6" s="5"/>
      <c r="AB6" s="6"/>
      <c r="AC6" s="5"/>
      <c r="AD6" s="6"/>
      <c r="AE6" s="5"/>
      <c r="AF6" s="6"/>
      <c r="AG6" s="5"/>
      <c r="AH6" s="6"/>
      <c r="AI6" s="5"/>
    </row>
    <row r="7" spans="1:35" s="4" customFormat="1" ht="6.6" customHeight="1">
      <c r="A7" s="11"/>
      <c r="D7" s="13"/>
      <c r="E7" s="13"/>
      <c r="F7" s="13"/>
      <c r="G7" s="13"/>
      <c r="H7" s="13"/>
      <c r="M7" s="9"/>
      <c r="N7" s="9"/>
      <c r="O7" s="9"/>
      <c r="P7" s="9"/>
      <c r="Q7" s="9"/>
      <c r="R7" s="9"/>
      <c r="S7" s="9"/>
      <c r="T7" s="9"/>
      <c r="U7" s="8"/>
      <c r="V7" s="7"/>
      <c r="W7" s="7"/>
      <c r="X7" s="6"/>
      <c r="Y7" s="5"/>
      <c r="Z7" s="6"/>
      <c r="AA7" s="5"/>
      <c r="AB7" s="6"/>
      <c r="AC7" s="5"/>
      <c r="AD7" s="6"/>
      <c r="AE7" s="5"/>
      <c r="AF7" s="6"/>
      <c r="AG7" s="5"/>
      <c r="AH7" s="6"/>
      <c r="AI7" s="5"/>
    </row>
    <row r="8" spans="1:35" s="4" customFormat="1" ht="15.95" customHeight="1">
      <c r="A8" s="501" t="s">
        <v>239</v>
      </c>
      <c r="B8" s="501"/>
      <c r="C8" s="501"/>
      <c r="D8" s="501"/>
      <c r="E8" s="501"/>
      <c r="F8" s="501"/>
      <c r="G8" s="501"/>
      <c r="H8" s="501"/>
      <c r="I8" s="501"/>
      <c r="J8" s="501"/>
      <c r="K8" s="501"/>
      <c r="L8" s="501"/>
      <c r="M8" s="501"/>
      <c r="N8" s="501"/>
      <c r="O8" s="501"/>
      <c r="P8" s="501"/>
      <c r="Q8" s="501"/>
      <c r="R8" s="501"/>
      <c r="S8" s="501"/>
      <c r="T8" s="501"/>
      <c r="U8" s="501"/>
      <c r="V8" s="7"/>
      <c r="W8" s="7"/>
      <c r="X8" s="6"/>
      <c r="Y8" s="5"/>
      <c r="Z8" s="6"/>
      <c r="AA8" s="5"/>
      <c r="AB8" s="6"/>
      <c r="AC8" s="5"/>
      <c r="AD8" s="6"/>
      <c r="AE8" s="5"/>
      <c r="AF8" s="6"/>
      <c r="AG8" s="5"/>
      <c r="AH8" s="6"/>
      <c r="AI8" s="5"/>
    </row>
    <row r="9" spans="1:35" s="4" customFormat="1" ht="15.95" customHeight="1">
      <c r="A9" s="11"/>
      <c r="D9" s="13"/>
      <c r="E9" s="13"/>
      <c r="F9" s="13"/>
      <c r="G9" s="13"/>
      <c r="H9" s="13"/>
      <c r="M9" s="210" t="str">
        <f>IF(avertissement&gt;0,"ATTENTION: Données réparties sur plusieurs feuilles - entraîne des résultats erronés","")</f>
        <v/>
      </c>
      <c r="N9" s="9"/>
      <c r="O9" s="9"/>
      <c r="P9" s="9"/>
      <c r="Q9" s="9"/>
      <c r="R9" s="9"/>
      <c r="S9" s="9"/>
      <c r="T9" s="9"/>
      <c r="U9" s="8"/>
      <c r="V9" s="7"/>
      <c r="W9" s="7"/>
      <c r="X9" s="6"/>
      <c r="Y9" s="5"/>
      <c r="Z9" s="6"/>
      <c r="AA9" s="5"/>
      <c r="AB9" s="6"/>
      <c r="AC9" s="5"/>
      <c r="AD9" s="6"/>
      <c r="AE9" s="5"/>
      <c r="AF9" s="6"/>
      <c r="AG9" s="5"/>
      <c r="AH9" s="6"/>
      <c r="AI9" s="5"/>
    </row>
    <row r="10" spans="1:35" s="112" customFormat="1" ht="21" customHeight="1">
      <c r="A10" s="118" t="s">
        <v>268</v>
      </c>
      <c r="C10" s="118"/>
      <c r="K10" s="117"/>
      <c r="L10" s="117"/>
      <c r="M10" s="116"/>
      <c r="N10" s="115"/>
      <c r="O10" s="114"/>
      <c r="P10" s="114"/>
      <c r="Q10" s="114"/>
      <c r="R10" s="114"/>
      <c r="S10" s="114"/>
      <c r="T10" s="114"/>
      <c r="U10" s="113"/>
      <c r="V10" s="7"/>
      <c r="W10" s="7"/>
      <c r="X10" s="6"/>
      <c r="Y10" s="5"/>
      <c r="Z10" s="6"/>
      <c r="AA10" s="5"/>
      <c r="AB10" s="6"/>
      <c r="AC10" s="5"/>
      <c r="AD10" s="6"/>
      <c r="AE10" s="5"/>
      <c r="AF10" s="6"/>
      <c r="AG10" s="5"/>
      <c r="AH10" s="6"/>
      <c r="AI10" s="5"/>
    </row>
    <row r="11" spans="1:35" s="4" customFormat="1" ht="6.6" customHeight="1">
      <c r="A11" s="11"/>
      <c r="D11" s="13"/>
      <c r="E11" s="13"/>
      <c r="F11" s="13"/>
      <c r="G11" s="13"/>
      <c r="H11" s="13"/>
      <c r="M11" s="9"/>
      <c r="N11" s="9"/>
      <c r="O11" s="9"/>
      <c r="P11" s="9"/>
      <c r="Q11" s="9"/>
      <c r="R11" s="9"/>
      <c r="S11" s="9"/>
      <c r="T11" s="9"/>
      <c r="U11" s="8"/>
      <c r="V11" s="7"/>
      <c r="W11" s="7"/>
      <c r="X11" s="6"/>
      <c r="Y11" s="5"/>
      <c r="Z11" s="6"/>
      <c r="AA11" s="5"/>
      <c r="AB11" s="6"/>
      <c r="AC11" s="5"/>
      <c r="AD11" s="6"/>
      <c r="AE11" s="5"/>
      <c r="AF11" s="6"/>
      <c r="AG11" s="5"/>
      <c r="AH11" s="6"/>
      <c r="AI11" s="5"/>
    </row>
    <row r="12" spans="1:35" s="4" customFormat="1" ht="15.95" customHeight="1">
      <c r="A12" s="11">
        <v>1</v>
      </c>
      <c r="B12" s="32" t="s">
        <v>237</v>
      </c>
      <c r="M12" s="9"/>
      <c r="N12" s="111"/>
      <c r="O12" s="4" t="s">
        <v>236</v>
      </c>
      <c r="Q12" s="515"/>
      <c r="R12" s="515"/>
      <c r="S12" s="515"/>
      <c r="T12" s="515"/>
      <c r="U12" s="515"/>
      <c r="V12" s="6"/>
      <c r="W12" s="6"/>
      <c r="X12" s="6"/>
      <c r="Y12" s="5"/>
      <c r="Z12" s="6"/>
      <c r="AA12" s="5"/>
      <c r="AB12" s="6"/>
      <c r="AC12" s="5"/>
      <c r="AD12" s="6"/>
      <c r="AE12" s="5"/>
      <c r="AF12" s="6"/>
      <c r="AG12" s="5"/>
      <c r="AH12" s="6"/>
      <c r="AI12" s="5"/>
    </row>
    <row r="13" spans="1:35" s="14" customFormat="1" ht="15.95" customHeight="1">
      <c r="A13" s="11">
        <v>1.1000000000000001</v>
      </c>
      <c r="B13" s="64">
        <v>1</v>
      </c>
      <c r="C13" s="14" t="s">
        <v>235</v>
      </c>
      <c r="I13" s="49" t="s">
        <v>267</v>
      </c>
      <c r="M13" s="8"/>
      <c r="N13" s="4"/>
      <c r="P13" s="4"/>
      <c r="Q13" s="4"/>
      <c r="R13" s="4"/>
      <c r="S13" s="4"/>
      <c r="T13" s="4"/>
      <c r="V13" s="16"/>
      <c r="W13" s="16"/>
      <c r="X13" s="16"/>
      <c r="Y13" s="15"/>
      <c r="Z13" s="16"/>
      <c r="AA13" s="15"/>
      <c r="AB13" s="16"/>
      <c r="AC13" s="15"/>
      <c r="AD13" s="16"/>
      <c r="AE13" s="15"/>
      <c r="AF13" s="16"/>
      <c r="AG13" s="15"/>
      <c r="AH13" s="16"/>
      <c r="AI13" s="15"/>
    </row>
    <row r="14" spans="1:35" s="14" customFormat="1" ht="15.95" customHeight="1">
      <c r="A14" s="65" t="s">
        <v>7</v>
      </c>
      <c r="B14" s="64">
        <v>0</v>
      </c>
      <c r="C14" s="500" t="s">
        <v>233</v>
      </c>
      <c r="D14" s="500"/>
      <c r="E14" s="500"/>
      <c r="F14" s="500"/>
      <c r="G14" s="500"/>
      <c r="H14" s="500"/>
      <c r="I14" s="104">
        <f>+DGL/LN</f>
        <v>0</v>
      </c>
      <c r="M14" s="8"/>
      <c r="N14" s="4"/>
      <c r="O14" s="4" t="s">
        <v>45</v>
      </c>
      <c r="P14" s="4"/>
      <c r="Q14" s="515"/>
      <c r="R14" s="515"/>
      <c r="S14" s="515"/>
      <c r="T14" s="515"/>
      <c r="U14" s="515"/>
      <c r="V14" s="16"/>
      <c r="W14" s="16"/>
      <c r="X14" s="16"/>
      <c r="Y14" s="15"/>
      <c r="Z14" s="16"/>
      <c r="AA14" s="15"/>
      <c r="AB14" s="16"/>
      <c r="AC14" s="15"/>
      <c r="AD14" s="16"/>
      <c r="AE14" s="15"/>
      <c r="AF14" s="16"/>
      <c r="AG14" s="15"/>
      <c r="AH14" s="16"/>
      <c r="AI14" s="15"/>
    </row>
    <row r="15" spans="1:35" s="14" customFormat="1" ht="15.95" customHeight="1">
      <c r="A15" s="68" t="s">
        <v>8</v>
      </c>
      <c r="B15" s="64">
        <v>0</v>
      </c>
      <c r="C15" s="500" t="s">
        <v>232</v>
      </c>
      <c r="D15" s="500"/>
      <c r="E15" s="500"/>
      <c r="F15" s="500"/>
      <c r="G15" s="500"/>
      <c r="H15" s="500"/>
      <c r="I15" s="104">
        <f>+offene_Ackerfläche/LN</f>
        <v>0</v>
      </c>
      <c r="M15" s="8"/>
      <c r="N15" s="8"/>
      <c r="V15" s="16"/>
      <c r="W15" s="16" t="s">
        <v>95</v>
      </c>
      <c r="X15" s="16"/>
      <c r="Y15" s="15"/>
      <c r="Z15" s="16"/>
      <c r="AA15" s="15"/>
      <c r="AB15" s="16"/>
      <c r="AC15" s="15"/>
      <c r="AD15" s="16"/>
      <c r="AE15" s="15"/>
      <c r="AF15" s="16"/>
      <c r="AG15" s="15"/>
      <c r="AH15" s="16"/>
      <c r="AI15" s="15"/>
    </row>
    <row r="16" spans="1:35" s="14" customFormat="1" ht="15.95" customHeight="1">
      <c r="A16" s="68" t="s">
        <v>9</v>
      </c>
      <c r="B16" s="64">
        <v>0</v>
      </c>
      <c r="C16" s="500" t="s">
        <v>231</v>
      </c>
      <c r="D16" s="500"/>
      <c r="E16" s="500"/>
      <c r="F16" s="500"/>
      <c r="G16" s="500"/>
      <c r="H16" s="500"/>
      <c r="I16" s="104">
        <f>+B16/LN</f>
        <v>0</v>
      </c>
      <c r="K16" s="110">
        <f>MAX(SUM(B14:B16),1)</f>
        <v>1</v>
      </c>
      <c r="M16" s="8"/>
      <c r="N16" s="8"/>
      <c r="O16" s="4" t="s">
        <v>230</v>
      </c>
      <c r="P16" s="4"/>
      <c r="Q16" s="109"/>
      <c r="R16" s="4" t="s">
        <v>229</v>
      </c>
      <c r="S16" s="515"/>
      <c r="T16" s="515"/>
      <c r="U16" s="515"/>
      <c r="V16" s="16"/>
      <c r="W16" s="16"/>
      <c r="X16" s="16"/>
      <c r="Y16" s="15"/>
      <c r="Z16" s="16"/>
      <c r="AA16" s="15"/>
      <c r="AB16" s="16"/>
      <c r="AC16" s="15"/>
      <c r="AD16" s="16"/>
      <c r="AE16" s="15"/>
      <c r="AF16" s="16"/>
      <c r="AG16" s="15"/>
      <c r="AH16" s="16"/>
      <c r="AI16" s="15"/>
    </row>
    <row r="17" spans="1:41" s="14" customFormat="1" ht="15.95" customHeight="1">
      <c r="A17" s="68" t="s">
        <v>10</v>
      </c>
      <c r="B17" s="47" t="s">
        <v>1</v>
      </c>
      <c r="C17" s="76">
        <f>+B16+offene_Ackerfläche</f>
        <v>0</v>
      </c>
      <c r="D17" s="500" t="s">
        <v>276</v>
      </c>
      <c r="E17" s="500"/>
      <c r="F17" s="500"/>
      <c r="G17" s="500"/>
      <c r="H17" s="500"/>
      <c r="I17" s="104">
        <f>+Ackerfläche/LN</f>
        <v>0</v>
      </c>
      <c r="M17" s="8"/>
      <c r="N17" s="8"/>
      <c r="O17" s="4"/>
      <c r="P17" s="4"/>
      <c r="Q17" s="4"/>
      <c r="R17" s="4"/>
      <c r="S17" s="4"/>
      <c r="T17" s="4"/>
      <c r="V17" s="16"/>
      <c r="W17" s="16"/>
      <c r="X17" s="16"/>
      <c r="Y17" s="15"/>
      <c r="Z17" s="16"/>
      <c r="AA17" s="15"/>
      <c r="AB17" s="16"/>
      <c r="AC17" s="15"/>
      <c r="AD17" s="16"/>
      <c r="AE17" s="15"/>
      <c r="AF17" s="16"/>
      <c r="AG17" s="15"/>
      <c r="AH17" s="16"/>
      <c r="AI17" s="15"/>
    </row>
    <row r="18" spans="1:41" s="14" customFormat="1" ht="15.95" customHeight="1">
      <c r="A18" s="65" t="s">
        <v>47</v>
      </c>
      <c r="B18" s="76">
        <f>+LN-SUM(B14:B16)</f>
        <v>1</v>
      </c>
      <c r="C18" s="500" t="s">
        <v>456</v>
      </c>
      <c r="D18" s="500"/>
      <c r="E18" s="500"/>
      <c r="F18" s="500"/>
      <c r="G18" s="500"/>
      <c r="H18" s="500"/>
      <c r="I18" s="500"/>
      <c r="J18" s="500"/>
      <c r="K18" s="500"/>
      <c r="O18" s="4"/>
      <c r="P18" s="4"/>
      <c r="Q18" s="4"/>
      <c r="R18" s="4"/>
      <c r="S18" s="4"/>
      <c r="T18" s="4"/>
      <c r="V18" s="16"/>
      <c r="W18" s="16"/>
      <c r="X18" s="16"/>
      <c r="Y18" s="15"/>
      <c r="Z18" s="16"/>
      <c r="AA18" s="15"/>
      <c r="AB18" s="16"/>
      <c r="AC18" s="15"/>
      <c r="AD18" s="16"/>
      <c r="AE18" s="15"/>
      <c r="AF18" s="16"/>
      <c r="AG18" s="15"/>
      <c r="AH18" s="16"/>
      <c r="AI18" s="15"/>
    </row>
    <row r="19" spans="1:41" ht="6" customHeight="1">
      <c r="C19" s="108" t="s">
        <v>1</v>
      </c>
      <c r="D19" s="180">
        <f>+DGL+Streuefläche+G68</f>
        <v>0</v>
      </c>
      <c r="E19" s="82" t="s">
        <v>94</v>
      </c>
      <c r="F19" s="103"/>
      <c r="G19" s="103"/>
      <c r="H19" s="103"/>
      <c r="I19" s="106"/>
      <c r="N19" s="9"/>
      <c r="AJ19" s="4"/>
      <c r="AK19" s="4"/>
      <c r="AL19" s="4"/>
      <c r="AM19" s="4"/>
      <c r="AN19" s="4"/>
      <c r="AO19" s="4"/>
    </row>
    <row r="20" spans="1:41" ht="15.95" customHeight="1">
      <c r="B20" s="32" t="s">
        <v>286</v>
      </c>
      <c r="C20" s="108"/>
      <c r="D20" s="107"/>
      <c r="E20" s="82"/>
      <c r="F20" s="103"/>
      <c r="G20" s="103"/>
      <c r="H20" s="103"/>
      <c r="K20" s="106"/>
      <c r="L20" s="106"/>
      <c r="N20" s="4"/>
      <c r="V20" s="6"/>
      <c r="W20" s="6"/>
      <c r="AJ20" s="126"/>
      <c r="AK20" s="4"/>
      <c r="AL20" s="4"/>
      <c r="AM20" s="4"/>
      <c r="AN20" s="4"/>
      <c r="AO20" s="4"/>
    </row>
    <row r="21" spans="1:41" ht="15.95" customHeight="1">
      <c r="A21" s="220"/>
      <c r="B21" s="219">
        <f>+LN</f>
        <v>1</v>
      </c>
      <c r="C21" s="500" t="s">
        <v>235</v>
      </c>
      <c r="D21" s="500"/>
      <c r="E21" s="500"/>
      <c r="F21" s="500"/>
      <c r="G21" s="500"/>
      <c r="H21" s="500"/>
      <c r="K21" s="106"/>
      <c r="L21" s="106"/>
      <c r="N21" s="4"/>
      <c r="V21" s="6"/>
      <c r="W21" s="6"/>
      <c r="AJ21" s="126"/>
      <c r="AK21" s="4"/>
      <c r="AL21" s="4"/>
      <c r="AM21" s="4"/>
      <c r="AN21" s="4"/>
      <c r="AO21" s="4"/>
    </row>
    <row r="22" spans="1:41" ht="15.95" customHeight="1">
      <c r="A22" s="216" t="s">
        <v>90</v>
      </c>
      <c r="B22" s="211">
        <v>0</v>
      </c>
      <c r="C22" s="495" t="s">
        <v>288</v>
      </c>
      <c r="D22" s="495"/>
      <c r="E22" s="495"/>
      <c r="F22" s="495"/>
      <c r="G22" s="495"/>
      <c r="H22" s="495"/>
      <c r="K22" s="106"/>
      <c r="L22" s="106"/>
      <c r="N22" s="4"/>
      <c r="V22" s="6"/>
      <c r="W22" s="6"/>
      <c r="AJ22" s="126"/>
      <c r="AK22" s="4"/>
      <c r="AL22" s="4"/>
      <c r="AM22" s="4"/>
      <c r="AN22" s="4"/>
      <c r="AO22" s="4"/>
    </row>
    <row r="23" spans="1:41" ht="15.95" customHeight="1">
      <c r="A23" s="335" t="s">
        <v>91</v>
      </c>
      <c r="B23" s="219">
        <f>+LN-Spezialkulturen</f>
        <v>1</v>
      </c>
      <c r="C23" s="495" t="s">
        <v>289</v>
      </c>
      <c r="D23" s="495"/>
      <c r="E23" s="495"/>
      <c r="F23" s="495"/>
      <c r="G23" s="495"/>
      <c r="H23" s="495"/>
      <c r="K23" s="106"/>
      <c r="L23" s="106"/>
      <c r="N23" s="4"/>
      <c r="V23" s="6"/>
      <c r="W23" s="6"/>
      <c r="AJ23" s="126"/>
      <c r="AK23" s="4"/>
      <c r="AL23" s="4"/>
      <c r="AM23" s="4"/>
      <c r="AN23" s="4"/>
      <c r="AO23" s="4"/>
    </row>
    <row r="24" spans="1:41" ht="6" customHeight="1">
      <c r="C24" s="108"/>
      <c r="D24" s="180"/>
      <c r="E24" s="82"/>
      <c r="F24" s="103"/>
      <c r="G24" s="103"/>
      <c r="H24" s="103"/>
      <c r="I24" s="106"/>
      <c r="N24" s="9"/>
      <c r="AJ24" s="4"/>
      <c r="AK24" s="4"/>
      <c r="AL24" s="4"/>
      <c r="AM24" s="4"/>
      <c r="AN24" s="4"/>
      <c r="AO24" s="4"/>
    </row>
    <row r="25" spans="1:41" ht="15.95" customHeight="1">
      <c r="B25" s="13" t="s">
        <v>290</v>
      </c>
      <c r="C25" s="108"/>
      <c r="D25" s="180"/>
      <c r="E25" s="82"/>
      <c r="F25" s="103"/>
      <c r="G25" s="103"/>
      <c r="H25" s="103"/>
      <c r="I25" s="106"/>
      <c r="N25" s="9"/>
      <c r="AJ25" s="4"/>
      <c r="AK25" s="4"/>
      <c r="AL25" s="4"/>
      <c r="AM25" s="4"/>
      <c r="AN25" s="4"/>
      <c r="AO25" s="4"/>
    </row>
    <row r="26" spans="1:41" ht="15.95" customHeight="1">
      <c r="A26" s="68" t="s">
        <v>20</v>
      </c>
      <c r="B26" s="76">
        <f>LN-B27-B28</f>
        <v>1</v>
      </c>
      <c r="C26" s="500" t="s">
        <v>228</v>
      </c>
      <c r="D26" s="500"/>
      <c r="E26" s="500"/>
      <c r="F26" s="500"/>
      <c r="G26" s="500"/>
      <c r="H26" s="500"/>
      <c r="I26" s="104">
        <f>+B26/LN</f>
        <v>1</v>
      </c>
      <c r="L26" s="83"/>
      <c r="N26" s="9"/>
      <c r="O26" s="4" t="s">
        <v>227</v>
      </c>
      <c r="P26" s="4"/>
      <c r="Q26" s="503"/>
      <c r="R26" s="503"/>
      <c r="S26" s="4" t="s">
        <v>226</v>
      </c>
      <c r="T26" s="4"/>
      <c r="U26" s="105"/>
      <c r="AJ26" s="4"/>
      <c r="AK26" s="4"/>
      <c r="AL26" s="4"/>
      <c r="AM26" s="4"/>
      <c r="AN26" s="4"/>
      <c r="AO26" s="4"/>
    </row>
    <row r="27" spans="1:41" ht="15.95" customHeight="1">
      <c r="A27" s="65" t="s">
        <v>21</v>
      </c>
      <c r="B27" s="64">
        <v>0</v>
      </c>
      <c r="C27" s="500" t="s">
        <v>225</v>
      </c>
      <c r="D27" s="500"/>
      <c r="E27" s="500"/>
      <c r="F27" s="500"/>
      <c r="G27" s="500"/>
      <c r="H27" s="500"/>
      <c r="I27" s="104">
        <f>+B27/LN</f>
        <v>0</v>
      </c>
      <c r="K27" s="4" t="str">
        <f>+IF(AND(I27&gt;I26,I27&gt;I28),"exploitation ZM I","")</f>
        <v/>
      </c>
      <c r="N27" s="9"/>
      <c r="AJ27" s="4"/>
      <c r="AK27" s="4"/>
      <c r="AL27" s="4"/>
      <c r="AM27" s="4"/>
      <c r="AN27" s="4"/>
      <c r="AO27" s="4"/>
    </row>
    <row r="28" spans="1:41" ht="15.95" customHeight="1">
      <c r="A28" s="65" t="s">
        <v>22</v>
      </c>
      <c r="B28" s="64">
        <v>0</v>
      </c>
      <c r="C28" s="500" t="s">
        <v>224</v>
      </c>
      <c r="D28" s="500"/>
      <c r="E28" s="500"/>
      <c r="F28" s="500"/>
      <c r="G28" s="500"/>
      <c r="H28" s="500"/>
      <c r="I28" s="104">
        <f>+B28/LN</f>
        <v>0</v>
      </c>
      <c r="K28" s="4" t="str">
        <f>+IF(AND(I28&gt;I26,I28&gt;=I27),"exploitation ZM II-IV","")</f>
        <v/>
      </c>
      <c r="N28" s="9"/>
      <c r="O28" s="4" t="s">
        <v>223</v>
      </c>
      <c r="Q28" s="502"/>
      <c r="R28" s="502"/>
      <c r="S28" s="502"/>
      <c r="T28" s="502"/>
      <c r="U28" s="502"/>
      <c r="AJ28" s="4"/>
      <c r="AK28" s="4"/>
      <c r="AL28" s="4"/>
      <c r="AM28" s="4"/>
      <c r="AN28" s="4"/>
      <c r="AO28" s="4"/>
    </row>
    <row r="29" spans="1:41" ht="15.95" customHeight="1">
      <c r="A29" s="4"/>
      <c r="B29" s="514" t="str">
        <f>+IF(AND(I26&gt;I27+I28,B26&lt;&gt;1), "exploitation de plaine: remplissez la questionnaire 'plaine' s.v.p.","")</f>
        <v/>
      </c>
      <c r="C29" s="514"/>
      <c r="D29" s="514"/>
      <c r="E29" s="514"/>
      <c r="F29" s="514"/>
      <c r="G29" s="514"/>
      <c r="H29" s="514"/>
      <c r="I29" s="514"/>
      <c r="J29" s="514"/>
      <c r="K29" s="514"/>
      <c r="L29" s="514"/>
      <c r="M29" s="514"/>
      <c r="N29" s="9"/>
      <c r="AJ29" s="4"/>
      <c r="AK29" s="4"/>
      <c r="AL29" s="4"/>
      <c r="AM29" s="4"/>
      <c r="AN29" s="4"/>
      <c r="AO29" s="4"/>
    </row>
    <row r="30" spans="1:41" ht="15.95" customHeight="1">
      <c r="B30" s="32" t="s">
        <v>222</v>
      </c>
      <c r="M30" s="73"/>
      <c r="O30" s="12" t="s">
        <v>44</v>
      </c>
      <c r="Q30" s="502"/>
      <c r="R30" s="502"/>
      <c r="S30" s="502"/>
      <c r="T30" s="502"/>
      <c r="U30" s="502"/>
      <c r="AB30" s="102"/>
      <c r="AJ30" s="4"/>
      <c r="AK30" s="4"/>
      <c r="AL30" s="4"/>
      <c r="AM30" s="4"/>
      <c r="AN30" s="4"/>
      <c r="AO30" s="4"/>
    </row>
    <row r="31" spans="1:41" s="14" customFormat="1" ht="15.95" customHeight="1">
      <c r="A31" s="11">
        <v>2</v>
      </c>
      <c r="B31" s="167">
        <v>0</v>
      </c>
      <c r="C31" s="14" t="s">
        <v>221</v>
      </c>
      <c r="E31" s="26">
        <f>+B31/LN</f>
        <v>0</v>
      </c>
      <c r="F31" s="14" t="s">
        <v>220</v>
      </c>
      <c r="M31" s="8"/>
      <c r="N31" s="8"/>
      <c r="O31" s="4"/>
      <c r="P31" s="4"/>
      <c r="Q31" s="4"/>
      <c r="R31" s="4"/>
      <c r="S31" s="4"/>
      <c r="T31" s="4"/>
      <c r="V31" s="16"/>
      <c r="W31" s="16"/>
      <c r="X31" s="16"/>
      <c r="Y31" s="15"/>
      <c r="Z31" s="16"/>
      <c r="AA31" s="15"/>
      <c r="AB31" s="16"/>
      <c r="AC31" s="15"/>
      <c r="AD31" s="16"/>
      <c r="AE31" s="15"/>
      <c r="AF31" s="16"/>
      <c r="AG31" s="15"/>
      <c r="AH31" s="16"/>
      <c r="AI31" s="15"/>
    </row>
    <row r="32" spans="1:41" ht="6.6" customHeight="1" outlineLevel="1">
      <c r="D32" s="13"/>
      <c r="E32" s="13"/>
      <c r="F32" s="13"/>
      <c r="G32" s="13"/>
      <c r="H32" s="13"/>
      <c r="N32" s="9"/>
      <c r="AJ32" s="4"/>
      <c r="AK32" s="4"/>
      <c r="AL32" s="4"/>
      <c r="AM32" s="4"/>
      <c r="AN32" s="4"/>
      <c r="AO32" s="4"/>
    </row>
    <row r="33" spans="1:41" ht="19.899999999999999" customHeight="1">
      <c r="A33" s="450" t="s">
        <v>219</v>
      </c>
      <c r="B33" s="451"/>
      <c r="C33" s="450"/>
      <c r="D33" s="451"/>
      <c r="E33" s="451"/>
      <c r="F33" s="451"/>
      <c r="G33" s="451"/>
      <c r="H33" s="451"/>
      <c r="I33" s="451"/>
      <c r="J33" s="451"/>
      <c r="K33" s="456"/>
      <c r="L33" s="456"/>
      <c r="M33" s="455" t="s">
        <v>121</v>
      </c>
      <c r="N33" s="459"/>
      <c r="O33" s="453" t="s">
        <v>119</v>
      </c>
      <c r="P33" s="453" t="s">
        <v>117</v>
      </c>
      <c r="Q33" s="453" t="s">
        <v>209</v>
      </c>
      <c r="R33" s="453" t="s">
        <v>208</v>
      </c>
      <c r="S33" s="453"/>
      <c r="T33" s="453"/>
      <c r="U33" s="453" t="s">
        <v>116</v>
      </c>
      <c r="V33" s="9"/>
      <c r="W33" s="9"/>
      <c r="X33" s="4"/>
      <c r="Y33" s="4"/>
      <c r="Z33" s="4"/>
      <c r="AA33" s="4"/>
      <c r="AB33" s="4"/>
      <c r="AC33" s="4"/>
      <c r="AD33" s="4"/>
      <c r="AE33" s="4"/>
      <c r="AF33" s="4"/>
      <c r="AG33" s="4"/>
      <c r="AH33" s="4"/>
      <c r="AI33" s="4"/>
      <c r="AJ33" s="4"/>
      <c r="AK33" s="4"/>
      <c r="AL33" s="4"/>
      <c r="AM33" s="4"/>
      <c r="AN33" s="4"/>
      <c r="AO33" s="4"/>
    </row>
    <row r="34" spans="1:41" ht="6" customHeight="1" outlineLevel="1">
      <c r="D34" s="13"/>
      <c r="E34" s="13"/>
      <c r="F34" s="13"/>
      <c r="G34" s="13"/>
      <c r="H34" s="13"/>
      <c r="N34" s="9"/>
      <c r="O34" s="19"/>
      <c r="P34" s="19"/>
      <c r="Q34" s="19"/>
      <c r="R34" s="19"/>
      <c r="S34" s="19"/>
      <c r="T34" s="19"/>
      <c r="U34" s="18"/>
      <c r="AJ34" s="4"/>
      <c r="AK34" s="4"/>
      <c r="AL34" s="4"/>
      <c r="AM34" s="4"/>
      <c r="AN34" s="4"/>
      <c r="AO34" s="4"/>
    </row>
    <row r="35" spans="1:41" hidden="1">
      <c r="B35" s="32" t="s">
        <v>11</v>
      </c>
      <c r="M35" s="73"/>
      <c r="N35" s="4"/>
      <c r="O35" s="19"/>
      <c r="P35" s="19"/>
      <c r="Q35" s="19"/>
      <c r="R35" s="19"/>
      <c r="S35" s="19"/>
      <c r="T35" s="19"/>
      <c r="U35" s="25"/>
      <c r="AB35" s="102"/>
      <c r="AJ35" s="126"/>
      <c r="AK35" s="4"/>
      <c r="AL35" s="4"/>
      <c r="AM35" s="4"/>
      <c r="AN35" s="4"/>
      <c r="AO35" s="4"/>
    </row>
    <row r="36" spans="1:41" s="14" customFormat="1" hidden="1">
      <c r="A36" s="11">
        <v>2</v>
      </c>
      <c r="B36" s="39">
        <v>9999</v>
      </c>
      <c r="C36" s="14" t="s">
        <v>6</v>
      </c>
      <c r="O36" s="27"/>
      <c r="P36" s="27"/>
      <c r="Q36" s="27"/>
      <c r="R36" s="27"/>
      <c r="S36" s="27"/>
      <c r="T36" s="27"/>
      <c r="U36" s="25"/>
      <c r="V36" s="16"/>
      <c r="W36" s="16"/>
      <c r="X36" s="16"/>
      <c r="Y36" s="15"/>
      <c r="Z36" s="16"/>
      <c r="AA36" s="15"/>
      <c r="AB36" s="16"/>
      <c r="AC36" s="15"/>
      <c r="AD36" s="16"/>
      <c r="AE36" s="15"/>
      <c r="AF36" s="16"/>
      <c r="AG36" s="15"/>
      <c r="AH36" s="16"/>
      <c r="AI36" s="15"/>
      <c r="AJ36" s="70"/>
    </row>
    <row r="37" spans="1:41" s="14" customFormat="1" hidden="1">
      <c r="A37" s="11"/>
      <c r="B37" s="4"/>
      <c r="C37" s="47" t="s">
        <v>1</v>
      </c>
      <c r="D37" s="26">
        <f>+B36/B13</f>
        <v>9999</v>
      </c>
      <c r="E37" s="14" t="s">
        <v>0</v>
      </c>
      <c r="M37" s="73">
        <f>+IF(D37&lt;AD37,AE37,IF(D37&lt;AB37,AC37,IF(D37&lt;=Z37,AA37,IF(D37&lt;=X37,Y37,))))</f>
        <v>0</v>
      </c>
      <c r="O37" s="19" t="str">
        <f>+"&gt;"&amp;Z37&amp;"-"&amp;X37</f>
        <v>&gt;1.3-1.6</v>
      </c>
      <c r="P37" s="91" t="str">
        <f>+AB37&amp;"-"&amp;Z37</f>
        <v>1-1.3</v>
      </c>
      <c r="Q37" s="19" t="str">
        <f>+AB37&amp;"-"&amp;AD37</f>
        <v>1-</v>
      </c>
      <c r="R37" s="19" t="str">
        <f>+"&lt;"&amp;AD37</f>
        <v>&lt;</v>
      </c>
      <c r="S37" s="166"/>
      <c r="T37" s="166"/>
      <c r="U37" s="25" t="s">
        <v>3</v>
      </c>
      <c r="V37" s="62"/>
      <c r="W37" s="61"/>
      <c r="X37" s="16">
        <v>1.6</v>
      </c>
      <c r="Y37" s="15">
        <v>1</v>
      </c>
      <c r="Z37" s="16">
        <v>1.3</v>
      </c>
      <c r="AA37" s="15">
        <v>2</v>
      </c>
      <c r="AB37" s="40">
        <v>1</v>
      </c>
      <c r="AC37" s="15">
        <v>3</v>
      </c>
      <c r="AD37" s="16"/>
      <c r="AE37" s="15"/>
      <c r="AF37" s="16"/>
      <c r="AG37" s="15"/>
      <c r="AH37" s="16"/>
      <c r="AI37" s="15"/>
      <c r="AJ37" s="70"/>
    </row>
    <row r="38" spans="1:41" hidden="1">
      <c r="D38" s="13"/>
      <c r="E38" s="13"/>
      <c r="F38" s="13"/>
      <c r="G38" s="13"/>
      <c r="H38" s="13"/>
      <c r="N38" s="4"/>
      <c r="O38" s="19"/>
      <c r="P38" s="19"/>
      <c r="Q38" s="19"/>
      <c r="R38" s="19"/>
      <c r="S38" s="19"/>
      <c r="T38" s="19"/>
      <c r="U38" s="18"/>
      <c r="AJ38" s="126"/>
      <c r="AK38" s="4"/>
      <c r="AL38" s="4"/>
      <c r="AM38" s="4"/>
      <c r="AN38" s="4"/>
      <c r="AO38" s="4"/>
    </row>
    <row r="39" spans="1:41" outlineLevel="1">
      <c r="B39" s="32" t="s">
        <v>218</v>
      </c>
      <c r="M39" s="73"/>
      <c r="O39" s="19"/>
      <c r="P39" s="19"/>
      <c r="Q39" s="19"/>
      <c r="R39" s="19"/>
      <c r="S39" s="19"/>
      <c r="T39" s="19"/>
      <c r="U39" s="25"/>
      <c r="AB39" s="102"/>
      <c r="AJ39" s="4"/>
      <c r="AK39" s="4"/>
      <c r="AL39" s="4"/>
      <c r="AM39" s="4"/>
      <c r="AN39" s="4"/>
      <c r="AO39" s="4"/>
    </row>
    <row r="40" spans="1:41" ht="15.95" customHeight="1" outlineLevel="1">
      <c r="A40" s="11">
        <v>3</v>
      </c>
      <c r="B40" s="35">
        <v>1</v>
      </c>
      <c r="C40" s="500" t="s">
        <v>217</v>
      </c>
      <c r="D40" s="500"/>
      <c r="E40" s="500"/>
      <c r="F40" s="500"/>
      <c r="G40" s="500"/>
      <c r="H40" s="500"/>
      <c r="M40" s="73"/>
      <c r="O40" s="19"/>
      <c r="P40" s="19"/>
      <c r="Q40" s="19"/>
      <c r="R40" s="19"/>
      <c r="S40" s="19"/>
      <c r="T40" s="19"/>
      <c r="U40" s="25"/>
      <c r="AB40" s="102"/>
      <c r="AJ40" s="4"/>
      <c r="AK40" s="4"/>
      <c r="AL40" s="165"/>
      <c r="AM40" s="4"/>
      <c r="AN40" s="4"/>
      <c r="AO40" s="4"/>
    </row>
    <row r="41" spans="1:41" s="14" customFormat="1" ht="15.95" customHeight="1" outlineLevel="1">
      <c r="A41" s="11"/>
      <c r="C41" s="47" t="s">
        <v>1</v>
      </c>
      <c r="D41" s="76">
        <f>(LN-öAF_ohne_Bäume)/(Nutzungsparzellen)</f>
        <v>1</v>
      </c>
      <c r="E41" s="14" t="s">
        <v>216</v>
      </c>
      <c r="M41" s="73"/>
      <c r="N41" s="8"/>
      <c r="O41" s="19"/>
      <c r="P41" s="91"/>
      <c r="Q41" s="33"/>
      <c r="R41" s="19"/>
      <c r="S41" s="101"/>
      <c r="T41" s="101"/>
      <c r="U41" s="25"/>
      <c r="V41" s="62"/>
      <c r="W41" s="61"/>
      <c r="X41" s="16"/>
      <c r="Y41" s="15"/>
      <c r="Z41" s="16"/>
      <c r="AA41" s="15"/>
      <c r="AB41" s="40"/>
      <c r="AC41" s="15"/>
      <c r="AD41" s="16"/>
      <c r="AE41" s="15"/>
      <c r="AF41" s="16"/>
      <c r="AG41" s="15"/>
      <c r="AH41" s="16"/>
      <c r="AI41" s="15"/>
    </row>
    <row r="42" spans="1:41" s="14" customFormat="1" ht="15.95" customHeight="1" outlineLevel="1">
      <c r="A42" s="11"/>
      <c r="B42" s="14" t="str">
        <f>+IF(I27&gt;I28,"exploitation ZM I - II","pas nécessaire pour les exploitations ZM III - IV")</f>
        <v>pas nécessaire pour les exploitations ZM III - IV</v>
      </c>
      <c r="C42" s="47"/>
      <c r="D42" s="26"/>
      <c r="M42" s="404">
        <f>IF(Nutzungsparzellen=1,0,IF(I27&gt;I28,IF(D41&lt;AD42,AE42,IF(D41&lt;AB42,AC42,IF(D41&lt;Z42,AA42,IF(D41&lt;X42,Y42,0)))),0))</f>
        <v>0</v>
      </c>
      <c r="N42" s="8"/>
      <c r="O42" s="264" t="str">
        <f>Z42&amp;"–"&amp;X42</f>
        <v>1.1–1.3</v>
      </c>
      <c r="P42" s="266" t="str">
        <f>+AB42&amp;"–&lt;"&amp;Z42</f>
        <v>0.9–&lt;1.1</v>
      </c>
      <c r="Q42" s="267" t="str">
        <f>+AD42&amp;"–&lt;"&amp;AB42</f>
        <v>0.7–&lt;0.9</v>
      </c>
      <c r="R42" s="264" t="str">
        <f>+"&lt;"&amp;AD42</f>
        <v>&lt;0.7</v>
      </c>
      <c r="S42" s="101"/>
      <c r="T42" s="101"/>
      <c r="U42" s="25" t="s">
        <v>215</v>
      </c>
      <c r="V42" s="62"/>
      <c r="W42" s="61"/>
      <c r="X42" s="16">
        <v>1.3</v>
      </c>
      <c r="Y42" s="15">
        <v>1</v>
      </c>
      <c r="Z42" s="16">
        <v>1.1000000000000001</v>
      </c>
      <c r="AA42" s="15">
        <v>2</v>
      </c>
      <c r="AB42" s="40">
        <v>0.9</v>
      </c>
      <c r="AC42" s="15">
        <v>3</v>
      </c>
      <c r="AD42" s="16">
        <v>0.7</v>
      </c>
      <c r="AE42" s="15">
        <v>4</v>
      </c>
      <c r="AF42" s="16"/>
      <c r="AG42" s="15"/>
      <c r="AH42" s="16"/>
      <c r="AI42" s="15"/>
    </row>
    <row r="43" spans="1:41" s="14" customFormat="1" ht="15.95" customHeight="1" outlineLevel="1">
      <c r="A43" s="11"/>
      <c r="B43" s="14" t="str">
        <f>+IF(I28&gt;I27,"exploitation ZM III - IV","pas nécessaire pour les exploitations ZM I - II")</f>
        <v>pas nécessaire pour les exploitations ZM I - II</v>
      </c>
      <c r="C43" s="47"/>
      <c r="D43" s="26"/>
      <c r="M43" s="404">
        <f>IF(Nutzungsparzellen=1,0,IF(I28&gt;=I27,IF(D41&lt;AD43,AE43,IF(D41&lt;AB43,AC43,IF(D41&lt;Z43,AA43,IF(D41&lt;X43,Y43,0)))),0))</f>
        <v>0</v>
      </c>
      <c r="N43" s="8"/>
      <c r="O43" s="264" t="str">
        <f>Z43&amp;"–"&amp;X43</f>
        <v>0.9–1.1</v>
      </c>
      <c r="P43" s="266" t="str">
        <f>+AB43&amp;"–&lt;"&amp;Z43</f>
        <v>0.7–&lt;0.9</v>
      </c>
      <c r="Q43" s="267" t="str">
        <f>+AD43&amp;"–&lt;"&amp;AB43</f>
        <v>0.5–&lt;0.7</v>
      </c>
      <c r="R43" s="264" t="str">
        <f>+"&lt;"&amp;AD43</f>
        <v>&lt;0.5</v>
      </c>
      <c r="S43" s="101"/>
      <c r="T43" s="101"/>
      <c r="U43" s="25" t="s">
        <v>215</v>
      </c>
      <c r="V43" s="62">
        <v>2</v>
      </c>
      <c r="W43" s="61"/>
      <c r="X43" s="16">
        <v>1.1000000000000001</v>
      </c>
      <c r="Y43" s="15">
        <v>1</v>
      </c>
      <c r="Z43" s="16">
        <v>0.9</v>
      </c>
      <c r="AA43" s="15">
        <v>2</v>
      </c>
      <c r="AB43" s="40">
        <v>0.7</v>
      </c>
      <c r="AC43" s="15">
        <v>3</v>
      </c>
      <c r="AD43" s="16">
        <v>0.5</v>
      </c>
      <c r="AE43" s="15">
        <v>4</v>
      </c>
      <c r="AF43" s="16"/>
      <c r="AG43" s="15"/>
      <c r="AH43" s="16"/>
      <c r="AI43" s="15"/>
    </row>
    <row r="44" spans="1:41" ht="6.6" customHeight="1" outlineLevel="1">
      <c r="D44" s="13"/>
      <c r="E44" s="13"/>
      <c r="F44" s="13"/>
      <c r="G44" s="13"/>
      <c r="H44" s="13"/>
      <c r="M44" s="36"/>
      <c r="N44" s="9"/>
      <c r="O44" s="19"/>
      <c r="P44" s="19"/>
      <c r="Q44" s="19"/>
      <c r="R44" s="19"/>
      <c r="S44" s="19"/>
      <c r="T44" s="19"/>
      <c r="U44" s="18"/>
      <c r="AJ44" s="4"/>
      <c r="AK44" s="4"/>
      <c r="AL44" s="4"/>
      <c r="AM44" s="4"/>
      <c r="AN44" s="4"/>
      <c r="AO44" s="4"/>
    </row>
    <row r="45" spans="1:41" ht="15.95" customHeight="1" outlineLevel="1">
      <c r="B45" s="504" t="s">
        <v>214</v>
      </c>
      <c r="C45" s="504"/>
      <c r="D45" s="504"/>
      <c r="E45" s="504"/>
      <c r="F45" s="504"/>
      <c r="G45" s="504"/>
      <c r="H45" s="504"/>
      <c r="M45" s="36"/>
      <c r="O45" s="19"/>
      <c r="P45" s="19"/>
      <c r="Q45" s="19"/>
      <c r="R45" s="19"/>
      <c r="S45" s="19"/>
      <c r="T45" s="19"/>
      <c r="U45" s="25"/>
      <c r="AJ45" s="4"/>
      <c r="AK45" s="4"/>
      <c r="AL45" s="4"/>
      <c r="AM45" s="4"/>
      <c r="AN45" s="4"/>
      <c r="AO45" s="4"/>
    </row>
    <row r="46" spans="1:41" ht="15.95" customHeight="1" outlineLevel="1">
      <c r="B46" s="14" t="s">
        <v>213</v>
      </c>
      <c r="M46" s="36"/>
      <c r="O46" s="19"/>
      <c r="P46" s="19"/>
      <c r="Q46" s="19"/>
      <c r="R46" s="19"/>
      <c r="S46" s="19"/>
      <c r="T46" s="19"/>
      <c r="U46" s="25"/>
      <c r="AJ46" s="4"/>
      <c r="AK46" s="4"/>
      <c r="AL46" s="4"/>
      <c r="AM46" s="4"/>
      <c r="AN46" s="4"/>
      <c r="AO46" s="4"/>
    </row>
    <row r="47" spans="1:41" ht="15.95" customHeight="1" outlineLevel="1">
      <c r="A47" s="99"/>
      <c r="B47" s="98" t="b">
        <v>0</v>
      </c>
      <c r="C47" s="97"/>
      <c r="D47" s="100"/>
      <c r="E47" s="98" t="b">
        <v>0</v>
      </c>
      <c r="F47" s="97"/>
      <c r="G47" s="97"/>
      <c r="H47" s="100"/>
      <c r="I47" s="98" t="b">
        <v>0</v>
      </c>
      <c r="M47" s="36"/>
      <c r="O47" s="19"/>
      <c r="P47" s="19"/>
      <c r="Q47" s="19"/>
      <c r="R47" s="19"/>
      <c r="S47" s="19"/>
      <c r="T47" s="19"/>
      <c r="U47" s="25"/>
      <c r="AJ47" s="4"/>
      <c r="AK47" s="4"/>
      <c r="AL47" s="4"/>
      <c r="AM47" s="4"/>
      <c r="AN47" s="4"/>
      <c r="AO47" s="4"/>
    </row>
    <row r="48" spans="1:41" ht="15.95" customHeight="1" outlineLevel="1">
      <c r="A48" s="99"/>
      <c r="B48" s="98" t="b">
        <v>0</v>
      </c>
      <c r="C48" s="97"/>
      <c r="D48" s="97"/>
      <c r="E48" s="98" t="b">
        <v>0</v>
      </c>
      <c r="F48" s="97"/>
      <c r="G48" s="97"/>
      <c r="H48" s="97"/>
      <c r="I48" s="98" t="b">
        <v>0</v>
      </c>
      <c r="M48" s="36"/>
      <c r="O48" s="19"/>
      <c r="P48" s="19"/>
      <c r="Q48" s="19"/>
      <c r="R48" s="19"/>
      <c r="S48" s="19"/>
      <c r="T48" s="19"/>
      <c r="U48" s="25"/>
      <c r="AJ48" s="4"/>
      <c r="AK48" s="4"/>
      <c r="AL48" s="4"/>
      <c r="AM48" s="4"/>
      <c r="AN48" s="4"/>
      <c r="AO48" s="4"/>
    </row>
    <row r="49" spans="1:79" ht="15.95" customHeight="1" outlineLevel="1">
      <c r="A49" s="99"/>
      <c r="B49" s="98" t="b">
        <v>0</v>
      </c>
      <c r="C49" s="97"/>
      <c r="D49" s="97"/>
      <c r="E49" s="98" t="b">
        <v>0</v>
      </c>
      <c r="F49" s="98"/>
      <c r="G49" s="97"/>
      <c r="H49" s="97"/>
      <c r="I49" s="98" t="b">
        <v>0</v>
      </c>
      <c r="J49" s="106"/>
      <c r="M49" s="36"/>
      <c r="O49" s="19"/>
      <c r="P49" s="19"/>
      <c r="Q49" s="19"/>
      <c r="R49" s="19"/>
      <c r="S49" s="19"/>
      <c r="T49" s="19"/>
      <c r="U49" s="25"/>
      <c r="AJ49" s="4"/>
      <c r="AK49" s="4"/>
      <c r="AL49" s="4"/>
      <c r="AM49" s="4"/>
      <c r="AN49" s="4"/>
      <c r="AO49" s="4"/>
    </row>
    <row r="50" spans="1:79" ht="15.95" customHeight="1" outlineLevel="1">
      <c r="A50" s="11">
        <v>4</v>
      </c>
      <c r="B50" s="4">
        <f>COUNTIF(A47:J49,TRUE)</f>
        <v>0</v>
      </c>
      <c r="C50" s="14" t="s">
        <v>212</v>
      </c>
      <c r="M50" s="404">
        <f>IF(B50&gt;=AD50,AE50,IF(B50&gt;=AB50,AC50,IF(B50&gt;=Z50,AA50,0)))</f>
        <v>0</v>
      </c>
      <c r="O50" s="19"/>
      <c r="P50" s="91">
        <f>+Z50</f>
        <v>2</v>
      </c>
      <c r="Q50" s="19">
        <f>+AB50</f>
        <v>3</v>
      </c>
      <c r="R50" s="19" t="str">
        <f>+"&gt;="&amp;AD50</f>
        <v>&gt;=4</v>
      </c>
      <c r="S50" s="19"/>
      <c r="T50" s="19"/>
      <c r="U50" s="25" t="s">
        <v>211</v>
      </c>
      <c r="V50" s="62">
        <v>2</v>
      </c>
      <c r="W50" s="61"/>
      <c r="Z50" s="6">
        <v>2</v>
      </c>
      <c r="AA50" s="5">
        <v>2</v>
      </c>
      <c r="AB50" s="6">
        <v>3</v>
      </c>
      <c r="AC50" s="5">
        <v>3</v>
      </c>
      <c r="AD50" s="6">
        <v>4</v>
      </c>
      <c r="AE50" s="5">
        <v>4</v>
      </c>
      <c r="AJ50" s="4"/>
      <c r="AK50" s="4"/>
      <c r="AL50" s="4"/>
      <c r="AM50" s="4"/>
      <c r="AN50" s="4"/>
      <c r="AO50" s="4"/>
    </row>
    <row r="51" spans="1:79" ht="6.6" customHeight="1" outlineLevel="1">
      <c r="D51" s="13"/>
      <c r="E51" s="13"/>
      <c r="F51" s="13"/>
      <c r="G51" s="13"/>
      <c r="H51" s="13"/>
      <c r="N51" s="9"/>
      <c r="O51" s="19"/>
      <c r="P51" s="19"/>
      <c r="Q51" s="19"/>
      <c r="R51" s="19"/>
      <c r="S51" s="19"/>
      <c r="T51" s="19"/>
      <c r="U51" s="18"/>
      <c r="AJ51" s="4"/>
      <c r="AK51" s="4"/>
      <c r="AL51" s="4"/>
      <c r="AM51" s="4"/>
      <c r="AN51" s="4"/>
      <c r="AO51" s="4"/>
    </row>
    <row r="52" spans="1:79" outlineLevel="1">
      <c r="A52" s="461" t="s">
        <v>210</v>
      </c>
      <c r="B52" s="451"/>
      <c r="C52" s="450"/>
      <c r="D52" s="451"/>
      <c r="E52" s="451"/>
      <c r="F52" s="451"/>
      <c r="G52" s="451"/>
      <c r="H52" s="451"/>
      <c r="I52" s="451"/>
      <c r="J52" s="451"/>
      <c r="K52" s="451"/>
      <c r="L52" s="451"/>
      <c r="M52" s="455" t="s">
        <v>121</v>
      </c>
      <c r="N52" s="455" t="s">
        <v>27</v>
      </c>
      <c r="O52" s="453" t="s">
        <v>119</v>
      </c>
      <c r="P52" s="453" t="s">
        <v>117</v>
      </c>
      <c r="Q52" s="453" t="s">
        <v>209</v>
      </c>
      <c r="R52" s="453" t="s">
        <v>208</v>
      </c>
      <c r="S52" s="453" t="s">
        <v>207</v>
      </c>
      <c r="T52" s="453" t="s">
        <v>206</v>
      </c>
      <c r="U52" s="453" t="s">
        <v>116</v>
      </c>
      <c r="V52" s="9"/>
      <c r="W52" s="9"/>
      <c r="X52" s="4"/>
      <c r="Y52" s="4"/>
      <c r="Z52" s="4"/>
      <c r="AA52" s="4"/>
      <c r="AB52" s="4"/>
      <c r="AC52" s="4"/>
      <c r="AD52" s="4"/>
      <c r="AE52" s="4"/>
      <c r="AF52" s="4"/>
      <c r="AG52" s="4"/>
      <c r="AH52" s="4"/>
      <c r="AI52" s="4"/>
      <c r="AJ52" s="8"/>
      <c r="AK52" s="8"/>
      <c r="AL52" s="8"/>
      <c r="AM52" s="8"/>
      <c r="AN52" s="8"/>
      <c r="AO52" s="8"/>
      <c r="AP52" s="8"/>
      <c r="AQ52" s="8"/>
      <c r="AR52" s="8"/>
      <c r="AS52" s="8"/>
      <c r="AT52" s="8"/>
      <c r="AU52" s="8"/>
      <c r="AV52" s="8"/>
      <c r="AW52" s="8"/>
      <c r="AX52" s="8"/>
      <c r="AY52" s="8"/>
      <c r="AZ52" s="8"/>
      <c r="BA52" s="8"/>
      <c r="BB52" s="8"/>
      <c r="BC52" s="8"/>
      <c r="BD52" s="8"/>
      <c r="BE52" s="8"/>
      <c r="BF52" s="8"/>
      <c r="BG52" s="8"/>
      <c r="BH52" s="8"/>
      <c r="BI52" s="8"/>
      <c r="BJ52" s="8"/>
      <c r="BK52" s="8"/>
      <c r="BL52" s="8"/>
      <c r="BM52" s="8"/>
      <c r="BN52" s="8"/>
      <c r="BO52" s="8"/>
      <c r="BP52" s="8"/>
      <c r="BQ52" s="8"/>
      <c r="BR52" s="8"/>
      <c r="BS52" s="8"/>
      <c r="BT52" s="8"/>
      <c r="BU52" s="8"/>
      <c r="BV52" s="8"/>
      <c r="BW52" s="8"/>
      <c r="BX52" s="8"/>
      <c r="BY52" s="8"/>
      <c r="BZ52" s="8"/>
      <c r="CA52" s="8"/>
    </row>
    <row r="53" spans="1:79" ht="6" customHeight="1" outlineLevel="1">
      <c r="D53" s="13"/>
      <c r="E53" s="13"/>
      <c r="F53" s="13"/>
      <c r="G53" s="13"/>
      <c r="H53" s="13"/>
      <c r="N53" s="9"/>
      <c r="O53" s="19"/>
      <c r="P53" s="19"/>
      <c r="Q53" s="19"/>
      <c r="R53" s="19"/>
      <c r="S53" s="19"/>
      <c r="T53" s="19"/>
      <c r="U53" s="25"/>
    </row>
    <row r="54" spans="1:79" ht="15.95" customHeight="1" outlineLevel="1">
      <c r="A54" s="11">
        <v>5</v>
      </c>
      <c r="B54" s="32" t="s">
        <v>205</v>
      </c>
      <c r="I54" s="93"/>
      <c r="J54" s="93"/>
      <c r="K54" s="179"/>
      <c r="L54" s="93"/>
      <c r="O54" s="19"/>
      <c r="P54" s="19"/>
      <c r="Q54" s="19"/>
      <c r="R54" s="19"/>
      <c r="S54" s="19"/>
      <c r="T54" s="19"/>
      <c r="U54" s="25"/>
    </row>
    <row r="55" spans="1:79" ht="15.95" customHeight="1" outlineLevel="1">
      <c r="B55" s="14" t="s">
        <v>204</v>
      </c>
      <c r="F55" s="87"/>
      <c r="G55" s="505" t="s">
        <v>203</v>
      </c>
      <c r="H55" s="505"/>
      <c r="I55" s="505" t="s">
        <v>202</v>
      </c>
      <c r="J55" s="505"/>
      <c r="K55" s="87" t="s">
        <v>202</v>
      </c>
      <c r="L55" s="179"/>
      <c r="N55" s="9"/>
      <c r="O55" s="19"/>
      <c r="P55" s="19"/>
      <c r="Q55" s="19"/>
      <c r="R55" s="19"/>
      <c r="S55" s="19"/>
      <c r="T55" s="19"/>
      <c r="U55" s="25"/>
    </row>
    <row r="56" spans="1:79" ht="15.95" customHeight="1" outlineLevel="1">
      <c r="B56" s="14"/>
      <c r="F56" s="87"/>
      <c r="G56" s="87"/>
      <c r="H56" s="87"/>
      <c r="I56" s="87" t="s">
        <v>201</v>
      </c>
      <c r="J56" s="93"/>
      <c r="K56" s="12" t="s">
        <v>200</v>
      </c>
      <c r="L56" s="179"/>
      <c r="N56" s="9"/>
      <c r="O56" s="19"/>
      <c r="P56" s="19"/>
      <c r="Q56" s="19"/>
      <c r="R56" s="19"/>
      <c r="S56" s="19"/>
      <c r="T56" s="19"/>
      <c r="U56" s="25"/>
    </row>
    <row r="57" spans="1:79" ht="5.45" customHeight="1">
      <c r="B57" s="14"/>
      <c r="F57" s="87"/>
      <c r="G57" s="87"/>
      <c r="H57" s="87"/>
      <c r="J57" s="93"/>
      <c r="K57" s="87"/>
      <c r="L57" s="179"/>
      <c r="N57" s="9"/>
      <c r="O57" s="19"/>
      <c r="P57" s="19"/>
      <c r="Q57" s="19"/>
      <c r="R57" s="19"/>
      <c r="S57" s="19"/>
      <c r="T57" s="19"/>
      <c r="U57" s="25"/>
    </row>
    <row r="58" spans="1:79" ht="15.95" customHeight="1" outlineLevel="1">
      <c r="A58" s="11">
        <v>5.0999999999999996</v>
      </c>
      <c r="B58" s="500" t="s">
        <v>199</v>
      </c>
      <c r="C58" s="500"/>
      <c r="D58" s="500"/>
      <c r="E58" s="500"/>
      <c r="F58" s="500"/>
      <c r="G58" s="64">
        <v>0</v>
      </c>
      <c r="H58" s="87"/>
      <c r="I58" s="64">
        <v>0</v>
      </c>
      <c r="J58" s="93"/>
      <c r="K58" s="156">
        <v>0</v>
      </c>
      <c r="L58" s="87"/>
      <c r="M58" s="492" t="str">
        <f>IF(SUM(G58:G60, G69)&gt;DGL,"la surface des SPB consacrée aux prairies ne doit pas dépasser les prairies permanentes","")</f>
        <v/>
      </c>
      <c r="N58" s="87"/>
      <c r="O58" s="19"/>
      <c r="P58" s="19"/>
      <c r="Q58" s="19"/>
      <c r="R58" s="19"/>
      <c r="S58" s="19"/>
      <c r="T58" s="19"/>
      <c r="U58" s="25"/>
    </row>
    <row r="59" spans="1:79" ht="15.95" customHeight="1" outlineLevel="1">
      <c r="A59" s="11">
        <v>5.2</v>
      </c>
      <c r="B59" s="500" t="s">
        <v>198</v>
      </c>
      <c r="C59" s="500"/>
      <c r="D59" s="500"/>
      <c r="E59" s="500"/>
      <c r="F59" s="500"/>
      <c r="G59" s="64">
        <v>0</v>
      </c>
      <c r="H59" s="87"/>
      <c r="I59" s="64">
        <v>0</v>
      </c>
      <c r="J59" s="93"/>
      <c r="K59" s="156">
        <v>0</v>
      </c>
      <c r="L59" s="87"/>
      <c r="M59" s="87"/>
      <c r="N59" s="87"/>
      <c r="O59" s="19"/>
      <c r="P59" s="19"/>
      <c r="Q59" s="19"/>
      <c r="R59" s="19"/>
      <c r="S59" s="19"/>
      <c r="T59" s="19"/>
      <c r="U59" s="25"/>
    </row>
    <row r="60" spans="1:79" ht="15.95" customHeight="1" outlineLevel="1">
      <c r="A60" s="11">
        <v>5.3</v>
      </c>
      <c r="B60" s="500" t="s">
        <v>197</v>
      </c>
      <c r="C60" s="500"/>
      <c r="D60" s="500"/>
      <c r="E60" s="500"/>
      <c r="F60" s="500"/>
      <c r="G60" s="64">
        <v>0</v>
      </c>
      <c r="H60" s="87"/>
      <c r="I60" s="64">
        <v>0</v>
      </c>
      <c r="J60" s="93"/>
      <c r="K60" s="156">
        <v>0</v>
      </c>
      <c r="L60" s="87"/>
      <c r="M60" s="87"/>
      <c r="N60" s="87"/>
      <c r="O60" s="19"/>
      <c r="P60" s="19"/>
      <c r="Q60" s="19"/>
      <c r="R60" s="19"/>
      <c r="S60" s="19"/>
      <c r="T60" s="19"/>
      <c r="U60" s="25"/>
    </row>
    <row r="61" spans="1:79" ht="15.95" customHeight="1" outlineLevel="1">
      <c r="A61" s="11">
        <v>5.4</v>
      </c>
      <c r="B61" s="500" t="s">
        <v>196</v>
      </c>
      <c r="C61" s="500"/>
      <c r="D61" s="500"/>
      <c r="E61" s="500"/>
      <c r="F61" s="500"/>
      <c r="G61" s="64">
        <v>0</v>
      </c>
      <c r="H61" s="87"/>
      <c r="I61" s="155">
        <f>G61</f>
        <v>0</v>
      </c>
      <c r="J61" s="93"/>
      <c r="K61" s="76">
        <f>G61</f>
        <v>0</v>
      </c>
      <c r="L61" s="87"/>
      <c r="M61" s="87"/>
      <c r="N61" s="87"/>
      <c r="O61" s="19"/>
      <c r="P61" s="19"/>
      <c r="Q61" s="19"/>
      <c r="R61" s="19"/>
      <c r="S61" s="19"/>
      <c r="T61" s="19"/>
      <c r="U61" s="25"/>
    </row>
    <row r="62" spans="1:79" ht="15.95" customHeight="1" outlineLevel="1">
      <c r="A62" s="11">
        <v>5.5</v>
      </c>
      <c r="B62" s="500" t="s">
        <v>195</v>
      </c>
      <c r="C62" s="500"/>
      <c r="D62" s="500"/>
      <c r="E62" s="500"/>
      <c r="F62" s="500"/>
      <c r="G62" s="64">
        <v>0</v>
      </c>
      <c r="H62" s="87"/>
      <c r="I62" s="155">
        <f>G62</f>
        <v>0</v>
      </c>
      <c r="J62" s="93"/>
      <c r="K62" s="76">
        <f>G62</f>
        <v>0</v>
      </c>
      <c r="L62" s="87"/>
      <c r="M62" s="87"/>
      <c r="N62" s="87"/>
      <c r="O62" s="19"/>
      <c r="P62" s="19"/>
      <c r="Q62" s="19"/>
      <c r="R62" s="19"/>
      <c r="S62" s="19"/>
      <c r="T62" s="19"/>
      <c r="U62" s="25"/>
    </row>
    <row r="63" spans="1:79" ht="15.95" customHeight="1" outlineLevel="1">
      <c r="A63" s="11">
        <v>5.6</v>
      </c>
      <c r="B63" s="500" t="s">
        <v>194</v>
      </c>
      <c r="C63" s="500"/>
      <c r="D63" s="500"/>
      <c r="E63" s="500"/>
      <c r="F63" s="500"/>
      <c r="G63" s="64">
        <v>0</v>
      </c>
      <c r="H63" s="87"/>
      <c r="I63" s="155">
        <f>G63</f>
        <v>0</v>
      </c>
      <c r="J63" s="93"/>
      <c r="K63" s="76">
        <f>G63</f>
        <v>0</v>
      </c>
      <c r="L63" s="87"/>
      <c r="M63" s="87"/>
      <c r="N63" s="87"/>
      <c r="O63" s="19"/>
      <c r="P63" s="19"/>
      <c r="Q63" s="19"/>
      <c r="R63" s="19"/>
      <c r="S63" s="19"/>
      <c r="T63" s="19"/>
      <c r="U63" s="25"/>
      <c r="AO63" s="4"/>
    </row>
    <row r="64" spans="1:79" ht="15.95" customHeight="1" outlineLevel="1">
      <c r="A64" s="11">
        <v>5.7</v>
      </c>
      <c r="B64" s="500" t="s">
        <v>193</v>
      </c>
      <c r="C64" s="500"/>
      <c r="D64" s="500"/>
      <c r="E64" s="500"/>
      <c r="F64" s="500"/>
      <c r="G64" s="64">
        <v>0</v>
      </c>
      <c r="H64" s="87"/>
      <c r="I64" s="155">
        <f>G64</f>
        <v>0</v>
      </c>
      <c r="J64" s="93"/>
      <c r="L64" s="87"/>
      <c r="M64" s="87"/>
      <c r="N64" s="87"/>
      <c r="O64" s="19"/>
      <c r="P64" s="19"/>
      <c r="Q64" s="19"/>
      <c r="R64" s="19"/>
      <c r="S64" s="19"/>
      <c r="T64" s="19"/>
      <c r="U64" s="25"/>
    </row>
    <row r="65" spans="1:41" ht="15.95" customHeight="1" outlineLevel="1">
      <c r="A65" s="11">
        <v>5.8</v>
      </c>
      <c r="B65" s="500" t="s">
        <v>192</v>
      </c>
      <c r="C65" s="500"/>
      <c r="D65" s="500"/>
      <c r="E65" s="500"/>
      <c r="F65" s="500"/>
      <c r="G65" s="64">
        <v>0</v>
      </c>
      <c r="H65" s="87"/>
      <c r="I65" s="155"/>
      <c r="J65" s="93"/>
      <c r="K65" s="76"/>
      <c r="L65" s="87"/>
      <c r="M65" s="87"/>
      <c r="N65" s="87"/>
      <c r="O65" s="19"/>
      <c r="P65" s="19"/>
      <c r="Q65" s="19"/>
      <c r="R65" s="19"/>
      <c r="S65" s="19"/>
      <c r="T65" s="19"/>
      <c r="U65" s="25"/>
      <c r="AJ65" s="70"/>
    </row>
    <row r="66" spans="1:41" ht="15.95" customHeight="1">
      <c r="B66" s="500" t="s">
        <v>191</v>
      </c>
      <c r="C66" s="500"/>
      <c r="D66" s="500"/>
      <c r="E66" s="500"/>
      <c r="F66" s="500"/>
      <c r="G66" s="76"/>
      <c r="H66" s="76"/>
      <c r="I66" s="64">
        <v>0</v>
      </c>
      <c r="J66" s="93"/>
      <c r="K66" s="76">
        <f>+I66</f>
        <v>0</v>
      </c>
      <c r="L66" s="87"/>
      <c r="M66" s="87"/>
      <c r="N66" s="87"/>
      <c r="O66" s="19"/>
      <c r="P66" s="19"/>
      <c r="Q66" s="19"/>
      <c r="R66" s="19"/>
      <c r="S66" s="19"/>
      <c r="T66" s="19"/>
      <c r="U66" s="25"/>
      <c r="AJ66" s="95"/>
      <c r="AK66" s="94"/>
      <c r="AL66" s="94"/>
      <c r="AM66" s="94"/>
      <c r="AN66" s="94"/>
      <c r="AO66" s="4"/>
    </row>
    <row r="67" spans="1:41" s="142" customFormat="1" ht="33.75" customHeight="1">
      <c r="A67" s="159" t="s">
        <v>48</v>
      </c>
      <c r="B67" s="508" t="s">
        <v>190</v>
      </c>
      <c r="C67" s="508"/>
      <c r="D67" s="508"/>
      <c r="E67" s="508"/>
      <c r="F67" s="508"/>
      <c r="G67" s="156">
        <v>0</v>
      </c>
      <c r="H67" s="150"/>
      <c r="J67" s="157"/>
      <c r="L67" s="87"/>
      <c r="M67" s="87"/>
      <c r="N67" s="87"/>
      <c r="O67" s="148"/>
      <c r="P67" s="148"/>
      <c r="Q67" s="148"/>
      <c r="R67" s="148"/>
      <c r="S67" s="148"/>
      <c r="T67" s="148"/>
      <c r="U67" s="147"/>
      <c r="V67" s="146"/>
      <c r="W67" s="146"/>
      <c r="X67" s="145"/>
      <c r="Y67" s="144"/>
      <c r="Z67" s="145"/>
      <c r="AA67" s="144"/>
      <c r="AB67" s="145"/>
      <c r="AC67" s="144"/>
      <c r="AD67" s="145"/>
      <c r="AE67" s="144"/>
      <c r="AF67" s="145"/>
      <c r="AG67" s="144"/>
      <c r="AH67" s="145"/>
      <c r="AI67" s="144"/>
      <c r="AJ67" s="161"/>
      <c r="AK67" s="161"/>
      <c r="AL67" s="161"/>
      <c r="AM67" s="161"/>
      <c r="AN67" s="161"/>
      <c r="AO67" s="161"/>
    </row>
    <row r="68" spans="1:41" outlineLevel="1">
      <c r="A68" s="11">
        <v>5.9</v>
      </c>
      <c r="B68" s="500" t="s">
        <v>189</v>
      </c>
      <c r="C68" s="500"/>
      <c r="D68" s="500"/>
      <c r="E68" s="500"/>
      <c r="F68" s="500"/>
      <c r="G68" s="64">
        <v>0</v>
      </c>
      <c r="H68" s="87"/>
      <c r="I68" s="64">
        <v>0</v>
      </c>
      <c r="J68" s="93"/>
      <c r="K68" s="64">
        <v>0</v>
      </c>
      <c r="L68" s="87"/>
      <c r="M68" s="87"/>
      <c r="N68" s="87"/>
      <c r="O68" s="19"/>
      <c r="P68" s="19"/>
      <c r="Q68" s="19"/>
      <c r="R68" s="19"/>
      <c r="S68" s="19"/>
      <c r="T68" s="19"/>
      <c r="U68" s="25"/>
    </row>
    <row r="69" spans="1:41" outlineLevel="1">
      <c r="A69" s="68" t="s">
        <v>12</v>
      </c>
      <c r="B69" s="500" t="s">
        <v>188</v>
      </c>
      <c r="C69" s="500"/>
      <c r="D69" s="500"/>
      <c r="E69" s="500"/>
      <c r="F69" s="500"/>
      <c r="G69" s="64">
        <v>0</v>
      </c>
      <c r="H69" s="87"/>
      <c r="I69" s="219">
        <f t="shared" ref="I69" si="0">G69</f>
        <v>0</v>
      </c>
      <c r="J69" s="93"/>
      <c r="K69" s="64">
        <v>0</v>
      </c>
      <c r="L69" s="87"/>
      <c r="M69" s="87"/>
      <c r="N69" s="87"/>
      <c r="O69" s="19"/>
      <c r="P69" s="19"/>
      <c r="Q69" s="19"/>
      <c r="R69" s="19"/>
      <c r="S69" s="19"/>
      <c r="T69" s="19"/>
      <c r="U69" s="25"/>
    </row>
    <row r="70" spans="1:41" outlineLevel="1">
      <c r="A70" s="11">
        <v>5.1100000000000003</v>
      </c>
      <c r="B70" s="500" t="s">
        <v>485</v>
      </c>
      <c r="C70" s="500"/>
      <c r="D70" s="500"/>
      <c r="E70" s="500"/>
      <c r="F70" s="500"/>
      <c r="G70" s="64">
        <v>0</v>
      </c>
      <c r="H70" s="87"/>
      <c r="K70" s="64">
        <v>0</v>
      </c>
      <c r="L70" s="87"/>
      <c r="M70" s="87"/>
      <c r="N70" s="87"/>
      <c r="O70" s="19"/>
      <c r="P70" s="19"/>
      <c r="Q70" s="19"/>
      <c r="R70" s="19"/>
      <c r="S70" s="19"/>
      <c r="T70" s="19"/>
      <c r="U70" s="25"/>
    </row>
    <row r="71" spans="1:41" s="142" customFormat="1" ht="31.5" customHeight="1" outlineLevel="1">
      <c r="A71" s="153">
        <v>5.12</v>
      </c>
      <c r="B71" s="508" t="s">
        <v>187</v>
      </c>
      <c r="C71" s="508"/>
      <c r="D71" s="508"/>
      <c r="E71" s="508"/>
      <c r="F71" s="508"/>
      <c r="G71" s="156">
        <v>0</v>
      </c>
      <c r="H71" s="150"/>
      <c r="I71" s="156">
        <v>0</v>
      </c>
      <c r="J71" s="157"/>
      <c r="K71" s="156">
        <v>0</v>
      </c>
      <c r="L71" s="87"/>
      <c r="M71" s="87"/>
      <c r="N71" s="87"/>
      <c r="O71" s="148"/>
      <c r="P71" s="148"/>
      <c r="Q71" s="148"/>
      <c r="R71" s="148"/>
      <c r="S71" s="148"/>
      <c r="T71" s="148"/>
      <c r="U71" s="147"/>
      <c r="V71" s="146"/>
      <c r="W71" s="146"/>
      <c r="X71" s="145"/>
      <c r="Y71" s="144"/>
      <c r="Z71" s="145"/>
      <c r="AA71" s="144"/>
      <c r="AB71" s="145"/>
      <c r="AC71" s="144"/>
      <c r="AD71" s="145"/>
      <c r="AE71" s="144"/>
      <c r="AF71" s="145"/>
      <c r="AG71" s="144"/>
      <c r="AH71" s="145"/>
      <c r="AI71" s="144"/>
      <c r="AJ71" s="161"/>
      <c r="AK71" s="161"/>
      <c r="AL71" s="161"/>
      <c r="AM71" s="161"/>
      <c r="AN71" s="161"/>
      <c r="AO71" s="161"/>
    </row>
    <row r="72" spans="1:41" ht="15.95" customHeight="1" outlineLevel="1">
      <c r="A72" s="68">
        <v>5.13</v>
      </c>
      <c r="B72" s="500" t="s">
        <v>186</v>
      </c>
      <c r="C72" s="500"/>
      <c r="D72" s="500"/>
      <c r="E72" s="500"/>
      <c r="F72" s="500"/>
      <c r="G72" s="64">
        <v>0</v>
      </c>
      <c r="H72" s="87"/>
      <c r="I72" s="9"/>
      <c r="J72" s="9"/>
      <c r="L72" s="87"/>
      <c r="M72" s="87"/>
      <c r="N72" s="87"/>
      <c r="O72" s="19"/>
      <c r="P72" s="19"/>
      <c r="Q72" s="19"/>
      <c r="R72" s="19"/>
      <c r="S72" s="19"/>
      <c r="T72" s="19"/>
      <c r="U72" s="25"/>
    </row>
    <row r="73" spans="1:41" ht="15.95" customHeight="1" outlineLevel="1">
      <c r="A73" s="68">
        <v>5.14</v>
      </c>
      <c r="B73" s="500" t="s">
        <v>185</v>
      </c>
      <c r="C73" s="500"/>
      <c r="D73" s="500"/>
      <c r="E73" s="500"/>
      <c r="F73" s="500"/>
      <c r="G73" s="35">
        <v>0</v>
      </c>
      <c r="H73" s="87"/>
      <c r="I73" s="35">
        <v>0</v>
      </c>
      <c r="J73" s="9"/>
      <c r="L73" s="87"/>
      <c r="M73" s="87"/>
      <c r="N73" s="87"/>
      <c r="O73" s="19"/>
      <c r="P73" s="19"/>
      <c r="Q73" s="19"/>
      <c r="R73" s="19"/>
      <c r="S73" s="19"/>
      <c r="T73" s="19"/>
      <c r="U73" s="25"/>
    </row>
    <row r="74" spans="1:41" ht="15.95" customHeight="1">
      <c r="A74" s="68"/>
      <c r="B74" s="47" t="s">
        <v>1</v>
      </c>
      <c r="C74" s="14"/>
      <c r="D74" s="87" t="s">
        <v>184</v>
      </c>
      <c r="F74" s="9"/>
      <c r="G74" s="76">
        <f>+G73*0.01</f>
        <v>0</v>
      </c>
      <c r="H74" s="9"/>
      <c r="I74" s="76">
        <f>+I73*0.01</f>
        <v>0</v>
      </c>
      <c r="J74" s="9"/>
      <c r="K74" s="87"/>
      <c r="L74" s="87"/>
      <c r="M74" s="87"/>
      <c r="N74" s="87"/>
      <c r="O74" s="19"/>
      <c r="P74" s="19"/>
      <c r="Q74" s="19"/>
      <c r="R74" s="19"/>
      <c r="S74" s="19"/>
      <c r="T74" s="19"/>
      <c r="U74" s="25"/>
    </row>
    <row r="75" spans="1:41" ht="6" customHeight="1" outlineLevel="1">
      <c r="B75" s="32"/>
      <c r="C75" s="87"/>
      <c r="M75" s="4"/>
      <c r="N75" s="9"/>
      <c r="O75" s="19"/>
      <c r="P75" s="19"/>
      <c r="Q75" s="19"/>
      <c r="R75" s="19"/>
      <c r="S75" s="19"/>
      <c r="T75" s="19"/>
      <c r="U75" s="25"/>
    </row>
    <row r="76" spans="1:41" outlineLevel="1">
      <c r="A76" s="68" t="s">
        <v>49</v>
      </c>
      <c r="B76" s="500" t="s">
        <v>183</v>
      </c>
      <c r="C76" s="500"/>
      <c r="D76" s="500"/>
      <c r="E76" s="500"/>
      <c r="F76" s="500"/>
      <c r="G76" s="76">
        <f>+SUM(G58:G65, G68:G72) + (G67*0.05)</f>
        <v>0</v>
      </c>
      <c r="H76" s="14"/>
      <c r="I76" s="76">
        <f>SUM(I58:I71)</f>
        <v>0</v>
      </c>
      <c r="K76" s="76">
        <f>SUM(K58:K72)</f>
        <v>0</v>
      </c>
      <c r="O76" s="19"/>
      <c r="P76" s="19"/>
      <c r="Q76" s="19"/>
      <c r="R76" s="19"/>
      <c r="S76" s="19"/>
      <c r="T76" s="19"/>
      <c r="U76" s="25"/>
    </row>
    <row r="77" spans="1:41" outlineLevel="1">
      <c r="A77" s="68" t="s">
        <v>13</v>
      </c>
      <c r="B77" s="500" t="s">
        <v>175</v>
      </c>
      <c r="C77" s="500"/>
      <c r="D77" s="500"/>
      <c r="E77" s="500"/>
      <c r="F77" s="500"/>
      <c r="G77" s="85">
        <f>+G76/LN</f>
        <v>0</v>
      </c>
      <c r="H77" s="14"/>
      <c r="I77" s="14"/>
      <c r="M77" s="92"/>
      <c r="O77" s="19"/>
      <c r="P77" s="19"/>
      <c r="Q77" s="19"/>
      <c r="R77" s="19"/>
      <c r="S77" s="19"/>
      <c r="T77" s="19"/>
      <c r="U77" s="25"/>
      <c r="W77" s="7">
        <f>+IF(AND(LN&lt;&gt;1,G77&lt;=0.056),1,0)</f>
        <v>0</v>
      </c>
    </row>
    <row r="78" spans="1:41" ht="6" customHeight="1" outlineLevel="1">
      <c r="B78" s="32"/>
      <c r="C78" s="88"/>
      <c r="G78" s="14"/>
      <c r="H78" s="14"/>
      <c r="I78" s="14"/>
      <c r="O78" s="19"/>
      <c r="P78" s="19"/>
      <c r="Q78" s="19"/>
      <c r="R78" s="19"/>
      <c r="S78" s="19"/>
      <c r="T78" s="19"/>
      <c r="U78" s="25"/>
    </row>
    <row r="79" spans="1:41" outlineLevel="1">
      <c r="A79" s="11">
        <v>5.16</v>
      </c>
      <c r="B79" s="14" t="s">
        <v>266</v>
      </c>
      <c r="E79" s="87"/>
      <c r="G79" s="76">
        <f>+öAF_ohne_Bäume+G74</f>
        <v>0</v>
      </c>
      <c r="H79" s="14"/>
      <c r="I79" s="26">
        <f>I76+I74</f>
        <v>0</v>
      </c>
      <c r="M79" s="92"/>
      <c r="O79" s="19"/>
      <c r="P79" s="19"/>
      <c r="Q79" s="19"/>
      <c r="R79" s="19"/>
      <c r="S79" s="19"/>
      <c r="T79" s="19"/>
      <c r="U79" s="25"/>
      <c r="W79" s="7">
        <f>+IF(AND(LN&lt;&gt;1,G76/LN&lt;0.072),1,0)</f>
        <v>0</v>
      </c>
    </row>
    <row r="80" spans="1:41" ht="6" customHeight="1" outlineLevel="1">
      <c r="B80" s="14"/>
      <c r="E80" s="87"/>
      <c r="G80" s="76"/>
      <c r="H80" s="14"/>
      <c r="I80" s="14"/>
      <c r="M80" s="92"/>
      <c r="O80" s="19"/>
      <c r="P80" s="19"/>
      <c r="Q80" s="19"/>
      <c r="R80" s="19"/>
      <c r="S80" s="19"/>
      <c r="T80" s="19"/>
      <c r="U80" s="25"/>
    </row>
    <row r="81" spans="1:40" s="203" customFormat="1" ht="15.95" customHeight="1">
      <c r="A81" s="215"/>
      <c r="B81" s="219">
        <f>LN-Spezialkulturen</f>
        <v>1</v>
      </c>
      <c r="C81" s="200" t="s">
        <v>297</v>
      </c>
      <c r="E81" s="239"/>
      <c r="G81" s="219"/>
      <c r="H81" s="200"/>
      <c r="I81" s="200"/>
      <c r="L81" s="200"/>
      <c r="M81" s="242"/>
      <c r="N81" s="227"/>
      <c r="O81" s="224"/>
      <c r="P81" s="224"/>
      <c r="Q81" s="224"/>
      <c r="R81" s="224"/>
      <c r="S81" s="224"/>
      <c r="T81" s="224"/>
      <c r="U81" s="228"/>
      <c r="V81" s="196"/>
      <c r="W81" s="196"/>
      <c r="X81" s="197"/>
      <c r="Y81" s="198"/>
      <c r="Z81" s="197"/>
      <c r="AA81" s="198"/>
      <c r="AB81" s="197"/>
      <c r="AC81" s="198"/>
      <c r="AD81" s="197"/>
      <c r="AE81" s="198"/>
      <c r="AF81" s="197"/>
      <c r="AG81" s="198"/>
      <c r="AH81" s="197"/>
      <c r="AI81" s="198"/>
      <c r="AJ81" s="207"/>
      <c r="AK81" s="208"/>
      <c r="AL81" s="208"/>
      <c r="AM81" s="208"/>
      <c r="AN81" s="208"/>
    </row>
    <row r="82" spans="1:40" s="203" customFormat="1" ht="15.95" customHeight="1">
      <c r="A82" s="215"/>
      <c r="B82" s="219">
        <f>Spezialkulturen</f>
        <v>0</v>
      </c>
      <c r="C82" s="200" t="s">
        <v>298</v>
      </c>
      <c r="E82" s="239"/>
      <c r="G82" s="219"/>
      <c r="H82" s="200"/>
      <c r="I82" s="200"/>
      <c r="L82" s="200"/>
      <c r="M82" s="242"/>
      <c r="N82" s="227"/>
      <c r="O82" s="224"/>
      <c r="P82" s="224"/>
      <c r="Q82" s="224"/>
      <c r="R82" s="224"/>
      <c r="S82" s="224"/>
      <c r="T82" s="224"/>
      <c r="U82" s="228"/>
      <c r="V82" s="196"/>
      <c r="W82" s="196"/>
      <c r="X82" s="197"/>
      <c r="Y82" s="198"/>
      <c r="Z82" s="197"/>
      <c r="AA82" s="198"/>
      <c r="AB82" s="197"/>
      <c r="AC82" s="198"/>
      <c r="AD82" s="197"/>
      <c r="AE82" s="198"/>
      <c r="AF82" s="197"/>
      <c r="AG82" s="198"/>
      <c r="AH82" s="197"/>
      <c r="AI82" s="198"/>
      <c r="AJ82" s="207"/>
      <c r="AK82" s="208"/>
      <c r="AL82" s="208"/>
      <c r="AM82" s="208"/>
      <c r="AN82" s="208"/>
    </row>
    <row r="83" spans="1:40" s="203" customFormat="1" ht="15.95" customHeight="1">
      <c r="A83" s="199"/>
      <c r="B83" s="200" t="s">
        <v>299</v>
      </c>
      <c r="E83" s="239"/>
      <c r="G83" s="240">
        <f>(Spezialkulturen*0.05 + (LN-Spezialkulturen)*0.09)/LN</f>
        <v>0.09</v>
      </c>
      <c r="H83" s="219"/>
      <c r="I83" s="219"/>
      <c r="L83" s="200"/>
      <c r="M83" s="242"/>
      <c r="N83" s="227"/>
      <c r="O83" s="224"/>
      <c r="P83" s="224"/>
      <c r="Q83" s="224"/>
      <c r="R83" s="224"/>
      <c r="S83" s="224"/>
      <c r="T83" s="224"/>
      <c r="U83" s="228"/>
      <c r="V83" s="196"/>
      <c r="W83" s="196"/>
      <c r="X83" s="197"/>
      <c r="Y83" s="198"/>
      <c r="Z83" s="197"/>
      <c r="AA83" s="198"/>
      <c r="AB83" s="197"/>
      <c r="AC83" s="198"/>
      <c r="AD83" s="197"/>
      <c r="AE83" s="198"/>
      <c r="AF83" s="197"/>
      <c r="AG83" s="198"/>
      <c r="AH83" s="197"/>
      <c r="AI83" s="198"/>
      <c r="AJ83" s="207"/>
      <c r="AK83" s="208"/>
      <c r="AL83" s="208"/>
      <c r="AM83" s="208"/>
      <c r="AN83" s="208"/>
    </row>
    <row r="84" spans="1:40" s="14" customFormat="1" outlineLevel="1">
      <c r="A84" s="11" t="s">
        <v>14</v>
      </c>
      <c r="B84" s="14" t="s">
        <v>300</v>
      </c>
      <c r="C84" s="4"/>
      <c r="D84" s="4"/>
      <c r="E84" s="4"/>
      <c r="F84" s="4"/>
      <c r="G84" s="85">
        <f>+G79/LN</f>
        <v>0</v>
      </c>
      <c r="I84" s="52"/>
      <c r="M84" s="81"/>
      <c r="N84" s="8"/>
      <c r="O84" s="19"/>
      <c r="P84" s="33"/>
      <c r="Q84" s="72"/>
      <c r="R84" s="19"/>
      <c r="S84" s="19"/>
      <c r="T84" s="19"/>
      <c r="U84" s="25"/>
      <c r="V84" s="62"/>
      <c r="W84" s="61"/>
      <c r="X84" s="56"/>
      <c r="Y84" s="15"/>
      <c r="Z84" s="56"/>
      <c r="AA84" s="15"/>
      <c r="AB84" s="56"/>
      <c r="AC84" s="15"/>
      <c r="AD84" s="56"/>
      <c r="AE84" s="15"/>
      <c r="AF84" s="56"/>
      <c r="AG84" s="15"/>
      <c r="AH84" s="16"/>
      <c r="AI84" s="15"/>
    </row>
    <row r="85" spans="1:40" s="14" customFormat="1" outlineLevel="1">
      <c r="A85" s="11" t="s">
        <v>93</v>
      </c>
      <c r="B85" s="4" t="str">
        <f>+IF(I27&gt;I28,"exploitation ZM I - II","pas nécessaire pour les exploitations ZM I - II")</f>
        <v>pas nécessaire pour les exploitations ZM I - II</v>
      </c>
      <c r="I85" s="52"/>
      <c r="M85" s="404">
        <f>+IF(I27&gt;I28,IF(G84&gt;AH85,AI85,IF(G84&gt;AF85,AG85,IF(G84&gt;AD85,AE85,IF(G84&gt;AB85,AC85,IF(G84&gt;Z85,AA85,IF(G84&gt;=X85,Y85,0)))))),0)</f>
        <v>0</v>
      </c>
      <c r="N85" s="8"/>
      <c r="O85" s="264" t="str">
        <f>X85*100&amp;"–"&amp;Z85*100</f>
        <v>7–9</v>
      </c>
      <c r="P85" s="266" t="str">
        <f>+"&gt;"&amp;Z85*100&amp;"–"&amp;AB85*100</f>
        <v>&gt;9–12</v>
      </c>
      <c r="Q85" s="264" t="str">
        <f>+"&gt;"&amp;AB85*100&amp;"–"&amp;AD85*100</f>
        <v>&gt;12–15</v>
      </c>
      <c r="R85" s="264" t="str">
        <f>+"&gt;"&amp;AD85*100&amp;"–"&amp;AF85*100</f>
        <v>&gt;15–18</v>
      </c>
      <c r="S85" s="264" t="str">
        <f>+"&gt;"&amp;AF85*100&amp;"–"&amp;AH85*100</f>
        <v>&gt;18–21</v>
      </c>
      <c r="T85" s="19" t="str">
        <f>+"&gt;"&amp;AH85*100</f>
        <v>&gt;21</v>
      </c>
      <c r="U85" s="25" t="s">
        <v>15</v>
      </c>
      <c r="V85" s="62">
        <v>2</v>
      </c>
      <c r="W85" s="61"/>
      <c r="X85" s="56">
        <v>7.0000000000000007E-2</v>
      </c>
      <c r="Y85" s="15">
        <v>1</v>
      </c>
      <c r="Z85" s="56">
        <v>0.09</v>
      </c>
      <c r="AA85" s="15">
        <v>2</v>
      </c>
      <c r="AB85" s="56">
        <v>0.12</v>
      </c>
      <c r="AC85" s="15">
        <v>3</v>
      </c>
      <c r="AD85" s="56">
        <v>0.15</v>
      </c>
      <c r="AE85" s="15">
        <v>4</v>
      </c>
      <c r="AF85" s="56">
        <v>0.18</v>
      </c>
      <c r="AG85" s="15">
        <v>5</v>
      </c>
      <c r="AH85" s="56">
        <v>0.21</v>
      </c>
      <c r="AI85" s="15">
        <v>6</v>
      </c>
    </row>
    <row r="86" spans="1:40" s="14" customFormat="1" outlineLevel="1">
      <c r="A86" s="11" t="s">
        <v>92</v>
      </c>
      <c r="B86" s="4" t="str">
        <f>+IF(I28&gt;=I27,"exploitation ZM III - IV","pas nécessaire pour les exploitations ZM III - IV")</f>
        <v>exploitation ZM III - IV</v>
      </c>
      <c r="I86" s="52"/>
      <c r="M86" s="404">
        <f>+IF(I28&gt;I27,IF(G84&gt;AH86,AI86,IF(G84&gt;AF86,AG86,IF(G84&gt;AD86,AE86,IF(G84&gt;AB86,AC86,IF(G84&gt;Z86,AA86,IF(G84&gt;=X86,Y86,0)))))),0)</f>
        <v>0</v>
      </c>
      <c r="N86" s="8"/>
      <c r="O86" s="264" t="str">
        <f>X86*100&amp;"–"&amp;Z86*100</f>
        <v>12–15</v>
      </c>
      <c r="P86" s="266" t="str">
        <f>+"&gt;"&amp;Z86*100&amp;"–"&amp;AB86*100</f>
        <v>&gt;15–20</v>
      </c>
      <c r="Q86" s="264" t="str">
        <f>+"&gt;"&amp;AB86*100&amp;"–"&amp;AD86*100</f>
        <v>&gt;20–25</v>
      </c>
      <c r="R86" s="264" t="str">
        <f>+"&gt;"&amp;AD86*100&amp;"–"&amp;AF86*100</f>
        <v>&gt;25–30</v>
      </c>
      <c r="S86" s="264" t="str">
        <f>+"&gt;"&amp;AF86*100&amp;"–"&amp;AH86*100</f>
        <v>&gt;30–35</v>
      </c>
      <c r="T86" s="19" t="str">
        <f>+"&gt;"&amp;AH86*100</f>
        <v>&gt;35</v>
      </c>
      <c r="U86" s="25" t="s">
        <v>15</v>
      </c>
      <c r="V86" s="62"/>
      <c r="W86" s="61"/>
      <c r="X86" s="56">
        <v>0.12</v>
      </c>
      <c r="Y86" s="15">
        <v>1</v>
      </c>
      <c r="Z86" s="56">
        <v>0.15</v>
      </c>
      <c r="AA86" s="15">
        <v>2</v>
      </c>
      <c r="AB86" s="56">
        <v>0.2</v>
      </c>
      <c r="AC86" s="15">
        <v>3</v>
      </c>
      <c r="AD86" s="56">
        <v>0.25</v>
      </c>
      <c r="AE86" s="15">
        <v>4</v>
      </c>
      <c r="AF86" s="56">
        <v>0.3</v>
      </c>
      <c r="AG86" s="15">
        <v>5</v>
      </c>
      <c r="AH86" s="56">
        <v>0.35</v>
      </c>
      <c r="AI86" s="15">
        <v>6</v>
      </c>
    </row>
    <row r="87" spans="1:40" ht="16.5" customHeight="1" outlineLevel="1">
      <c r="A87" s="4"/>
      <c r="B87" s="32"/>
      <c r="C87" s="243" t="str">
        <f>+IF(AND(G84&lt;G83,M1&lt;22), "Au moins " &amp;G83*100 &amp;"% de SPB ou 22 points de biodiversité doivent être présents sur la SAU pour remplir les conditions du label!","")</f>
        <v>Au moins 9% de SPB ou 22 points de biodiversité doivent être présents sur la SAU pour remplir les conditions du label!</v>
      </c>
      <c r="G87" s="14"/>
      <c r="H87" s="14"/>
      <c r="I87" s="14"/>
      <c r="O87" s="19"/>
      <c r="P87" s="19"/>
      <c r="Q87" s="19"/>
      <c r="R87" s="19"/>
      <c r="S87" s="19"/>
      <c r="T87" s="19"/>
      <c r="U87" s="25"/>
    </row>
    <row r="88" spans="1:40" hidden="1">
      <c r="A88" s="11">
        <v>5.17</v>
      </c>
      <c r="B88" s="500" t="s">
        <v>181</v>
      </c>
      <c r="C88" s="500"/>
      <c r="D88" s="500"/>
      <c r="E88" s="500"/>
      <c r="F88" s="500"/>
      <c r="G88" s="76">
        <f>+G63+G64+G65+G67+G68 + IF(offene_Ackerfläche&gt;=3,MIN(Ackerfläche*0.0175,G74),0)</f>
        <v>0</v>
      </c>
      <c r="H88" s="14"/>
      <c r="I88" s="76"/>
      <c r="L88" s="14"/>
      <c r="M88" s="90"/>
      <c r="N88" s="51"/>
      <c r="O88" s="19"/>
      <c r="P88" s="19"/>
      <c r="Q88" s="19"/>
      <c r="R88" s="19"/>
      <c r="S88" s="19"/>
      <c r="T88" s="19"/>
      <c r="U88" s="25"/>
    </row>
    <row r="89" spans="1:40" hidden="1">
      <c r="A89" s="68" t="s">
        <v>43</v>
      </c>
      <c r="B89" s="14" t="s">
        <v>179</v>
      </c>
      <c r="G89" s="52">
        <f>+IF(Ackerfläche&gt;0,G88/Ackerfläche,0)</f>
        <v>0</v>
      </c>
      <c r="H89" s="14"/>
      <c r="I89" s="52"/>
      <c r="L89" s="14"/>
      <c r="M89" s="89"/>
      <c r="N89" s="51"/>
      <c r="O89" s="19"/>
      <c r="P89" s="19"/>
      <c r="Q89" s="19"/>
      <c r="R89" s="19"/>
      <c r="S89" s="19"/>
      <c r="T89" s="19"/>
      <c r="U89" s="25"/>
      <c r="W89" s="7">
        <f>+IF(Ackerfläche&lt;=3,0,IF(G89&gt;=0.03,0,1))</f>
        <v>0</v>
      </c>
    </row>
    <row r="90" spans="1:40" ht="5.45" customHeight="1">
      <c r="A90" s="507"/>
      <c r="B90" s="507"/>
      <c r="C90" s="507"/>
      <c r="D90" s="507"/>
      <c r="E90" s="507"/>
      <c r="F90" s="507"/>
      <c r="G90" s="507"/>
      <c r="H90" s="507"/>
      <c r="I90" s="507"/>
      <c r="J90" s="507"/>
      <c r="K90" s="507"/>
      <c r="L90" s="507"/>
      <c r="M90" s="507"/>
      <c r="N90" s="507"/>
      <c r="O90" s="19"/>
      <c r="P90" s="19"/>
      <c r="Q90" s="19"/>
      <c r="R90" s="19"/>
      <c r="S90" s="19"/>
      <c r="T90" s="19"/>
      <c r="U90" s="25"/>
    </row>
    <row r="91" spans="1:40" s="14" customFormat="1">
      <c r="A91" s="11" t="s">
        <v>52</v>
      </c>
      <c r="B91" s="500" t="s">
        <v>180</v>
      </c>
      <c r="C91" s="500"/>
      <c r="D91" s="500"/>
      <c r="E91" s="500"/>
      <c r="F91" s="500"/>
      <c r="G91" s="52"/>
      <c r="I91" s="76">
        <f>+G61+G62+G63+G64+I66</f>
        <v>0</v>
      </c>
      <c r="M91" s="89"/>
      <c r="O91" s="19"/>
      <c r="P91" s="19"/>
      <c r="Q91" s="19"/>
      <c r="R91" s="19"/>
      <c r="S91" s="19"/>
      <c r="T91" s="19"/>
      <c r="U91" s="25"/>
      <c r="V91" s="16"/>
      <c r="W91" s="7"/>
      <c r="X91" s="16"/>
      <c r="Y91" s="15"/>
      <c r="Z91" s="16"/>
      <c r="AA91" s="15"/>
      <c r="AB91" s="16"/>
      <c r="AC91" s="15"/>
      <c r="AD91" s="16"/>
      <c r="AE91" s="15"/>
      <c r="AF91" s="16"/>
      <c r="AG91" s="15"/>
      <c r="AH91" s="16"/>
      <c r="AI91" s="15"/>
    </row>
    <row r="92" spans="1:40" s="14" customFormat="1">
      <c r="A92" s="11" t="s">
        <v>53</v>
      </c>
      <c r="B92" s="14" t="s">
        <v>179</v>
      </c>
      <c r="C92" s="4"/>
      <c r="D92" s="4"/>
      <c r="E92" s="4"/>
      <c r="F92" s="4"/>
      <c r="G92" s="52"/>
      <c r="I92" s="85">
        <f>+IF(Ackerfläche&gt;0,I91/Ackerfläche,0)</f>
        <v>0</v>
      </c>
      <c r="M92" s="89"/>
      <c r="O92" s="19"/>
      <c r="P92" s="19"/>
      <c r="Q92" s="19"/>
      <c r="R92" s="19"/>
      <c r="S92" s="19"/>
      <c r="T92" s="19"/>
      <c r="U92" s="25"/>
      <c r="V92" s="16"/>
      <c r="W92" s="7"/>
      <c r="X92" s="16"/>
      <c r="Y92" s="15"/>
      <c r="Z92" s="16"/>
      <c r="AA92" s="15"/>
      <c r="AB92" s="16"/>
      <c r="AC92" s="15"/>
      <c r="AD92" s="16"/>
      <c r="AE92" s="15"/>
      <c r="AF92" s="16"/>
      <c r="AG92" s="15"/>
      <c r="AH92" s="16"/>
      <c r="AI92" s="15"/>
    </row>
    <row r="93" spans="1:40" ht="5.45" customHeight="1" outlineLevel="1">
      <c r="B93" s="32"/>
      <c r="C93" s="87"/>
      <c r="G93" s="14"/>
      <c r="H93" s="14"/>
      <c r="I93" s="14"/>
      <c r="O93" s="19"/>
      <c r="P93" s="19"/>
      <c r="Q93" s="19"/>
      <c r="R93" s="19"/>
      <c r="S93" s="19"/>
      <c r="T93" s="19"/>
      <c r="U93" s="25"/>
    </row>
    <row r="94" spans="1:40" s="14" customFormat="1" outlineLevel="1">
      <c r="A94" s="68">
        <v>5.18</v>
      </c>
      <c r="B94" s="14" t="s">
        <v>178</v>
      </c>
      <c r="C94" s="4"/>
      <c r="D94" s="4"/>
      <c r="E94" s="4"/>
      <c r="F94" s="4"/>
      <c r="G94" s="76">
        <f>G58+G59+G60+G68+G69+G70</f>
        <v>0</v>
      </c>
      <c r="I94" s="76">
        <f>+SUM(I58:I72)+I74</f>
        <v>0</v>
      </c>
      <c r="M94" s="8"/>
      <c r="N94" s="8"/>
      <c r="O94" s="19"/>
      <c r="P94" s="19"/>
      <c r="Q94" s="19"/>
      <c r="R94" s="19"/>
      <c r="S94" s="19"/>
      <c r="T94" s="19"/>
      <c r="U94" s="25"/>
      <c r="V94" s="16"/>
      <c r="W94" s="7"/>
      <c r="X94" s="16"/>
      <c r="Y94" s="15"/>
      <c r="Z94" s="16"/>
      <c r="AA94" s="15"/>
      <c r="AB94" s="16"/>
      <c r="AC94" s="15"/>
      <c r="AD94" s="16"/>
      <c r="AE94" s="15"/>
      <c r="AF94" s="16"/>
      <c r="AG94" s="15"/>
      <c r="AH94" s="16"/>
      <c r="AI94" s="15"/>
    </row>
    <row r="95" spans="1:40" s="14" customFormat="1" outlineLevel="1">
      <c r="A95" s="11" t="s">
        <v>50</v>
      </c>
      <c r="B95" s="14" t="s">
        <v>265</v>
      </c>
      <c r="C95" s="4"/>
      <c r="D95" s="4"/>
      <c r="E95" s="4"/>
      <c r="F95" s="4"/>
      <c r="G95" s="85">
        <f>+IF(DGL_Streue&gt;0,G94/DGL_Streue,0)</f>
        <v>0</v>
      </c>
      <c r="I95" s="85">
        <f>+IF(DGL_Streue&gt;0,I94/DGL_Streue,0)</f>
        <v>0</v>
      </c>
      <c r="M95" s="81"/>
      <c r="N95" s="8"/>
      <c r="O95" s="19"/>
      <c r="P95" s="19"/>
      <c r="Q95" s="19"/>
      <c r="R95" s="19"/>
      <c r="S95" s="19"/>
      <c r="T95" s="19"/>
      <c r="U95" s="25"/>
      <c r="V95" s="16"/>
      <c r="W95" s="7">
        <f>+IF(DGL&lt;=3,0,IF(G95&gt;=0.09,,1))</f>
        <v>0</v>
      </c>
      <c r="X95" s="16"/>
      <c r="Y95" s="15"/>
      <c r="Z95" s="16"/>
      <c r="AA95" s="15"/>
      <c r="AB95" s="16"/>
      <c r="AC95" s="15"/>
      <c r="AD95" s="16"/>
      <c r="AE95" s="15"/>
      <c r="AF95" s="16"/>
      <c r="AG95" s="15"/>
      <c r="AH95" s="16"/>
      <c r="AI95" s="15"/>
    </row>
    <row r="96" spans="1:40" ht="5.45" customHeight="1" outlineLevel="1">
      <c r="B96" s="32"/>
      <c r="C96" s="87"/>
      <c r="G96" s="14"/>
      <c r="H96" s="14"/>
      <c r="I96" s="14"/>
      <c r="O96" s="19"/>
      <c r="P96" s="19"/>
      <c r="Q96" s="19"/>
      <c r="R96" s="19"/>
      <c r="S96" s="19"/>
      <c r="T96" s="19"/>
      <c r="U96" s="25"/>
    </row>
    <row r="97" spans="1:41" s="14" customFormat="1" outlineLevel="1">
      <c r="A97" s="68">
        <v>5.19</v>
      </c>
      <c r="B97" s="14" t="s">
        <v>176</v>
      </c>
      <c r="C97" s="4"/>
      <c r="D97" s="4"/>
      <c r="E97" s="4"/>
      <c r="F97" s="4"/>
      <c r="G97" s="52"/>
      <c r="I97" s="26">
        <f>I79</f>
        <v>0</v>
      </c>
      <c r="K97" s="88"/>
      <c r="M97" s="81"/>
      <c r="N97" s="8"/>
      <c r="O97" s="19"/>
      <c r="P97" s="19"/>
      <c r="Q97" s="19"/>
      <c r="R97" s="19"/>
      <c r="S97" s="19"/>
      <c r="T97" s="19"/>
      <c r="U97" s="25"/>
      <c r="V97" s="16"/>
      <c r="W97" s="16"/>
      <c r="X97" s="16"/>
      <c r="Y97" s="15"/>
      <c r="Z97" s="16"/>
      <c r="AA97" s="15"/>
      <c r="AB97" s="16"/>
      <c r="AC97" s="15"/>
      <c r="AD97" s="16"/>
      <c r="AE97" s="15"/>
      <c r="AF97" s="16"/>
      <c r="AG97" s="15"/>
      <c r="AH97" s="16"/>
      <c r="AI97" s="15"/>
      <c r="AJ97" s="70"/>
    </row>
    <row r="98" spans="1:41" s="14" customFormat="1" outlineLevel="1">
      <c r="A98" s="11" t="s">
        <v>51</v>
      </c>
      <c r="B98" s="14" t="s">
        <v>175</v>
      </c>
      <c r="C98" s="47"/>
      <c r="I98" s="85">
        <f>+I97/LN</f>
        <v>0</v>
      </c>
      <c r="M98" s="246">
        <f>+IF(I98&lt;X98,0,IF(I98&gt;AH98,AI98,1+(100*I98-2)))</f>
        <v>0</v>
      </c>
      <c r="N98" s="200"/>
      <c r="O98" s="224"/>
      <c r="P98" s="238">
        <v>2</v>
      </c>
      <c r="Q98" s="244"/>
      <c r="R98" s="224" t="s">
        <v>56</v>
      </c>
      <c r="S98" s="224"/>
      <c r="T98" s="224" t="str">
        <f>+"&gt;"&amp;AH98*100</f>
        <v>&gt;7</v>
      </c>
      <c r="U98" s="228" t="s">
        <v>15</v>
      </c>
      <c r="V98" s="234"/>
      <c r="W98" s="235"/>
      <c r="X98" s="245">
        <v>0.02</v>
      </c>
      <c r="Y98" s="214">
        <v>1</v>
      </c>
      <c r="Z98" s="245"/>
      <c r="AA98" s="214" t="s">
        <v>57</v>
      </c>
      <c r="AB98" s="245"/>
      <c r="AC98" s="214"/>
      <c r="AD98" s="245"/>
      <c r="AE98" s="214"/>
      <c r="AF98" s="245"/>
      <c r="AG98" s="214"/>
      <c r="AH98" s="245">
        <v>7.0000000000000007E-2</v>
      </c>
      <c r="AI98" s="214">
        <v>6</v>
      </c>
    </row>
    <row r="99" spans="1:41" s="14" customFormat="1" ht="5.45" customHeight="1" outlineLevel="1">
      <c r="A99" s="11"/>
      <c r="C99" s="47"/>
      <c r="I99" s="52"/>
      <c r="M99" s="73"/>
      <c r="N99" s="8"/>
      <c r="O99" s="19"/>
      <c r="P99" s="33"/>
      <c r="Q99" s="72"/>
      <c r="R99" s="19"/>
      <c r="S99" s="19"/>
      <c r="T99" s="19"/>
      <c r="U99" s="25"/>
      <c r="V99" s="62"/>
      <c r="W99" s="61"/>
      <c r="X99" s="56"/>
      <c r="Y99" s="15"/>
      <c r="Z99" s="56"/>
      <c r="AA99" s="15"/>
      <c r="AB99" s="56"/>
      <c r="AC99" s="15"/>
      <c r="AD99" s="56"/>
      <c r="AE99" s="15"/>
      <c r="AF99" s="56"/>
      <c r="AG99" s="15"/>
      <c r="AH99" s="16"/>
      <c r="AI99" s="15"/>
    </row>
    <row r="100" spans="1:41" s="14" customFormat="1" outlineLevel="1">
      <c r="A100" s="11">
        <v>6.1</v>
      </c>
      <c r="B100" s="2">
        <v>0</v>
      </c>
      <c r="C100" s="14" t="s">
        <v>264</v>
      </c>
      <c r="G100" s="52">
        <f>+IF(B26&gt;0,B100/B26,0)</f>
        <v>0</v>
      </c>
      <c r="H100" s="14" t="s">
        <v>263</v>
      </c>
      <c r="M100" s="81"/>
      <c r="N100" s="8"/>
      <c r="O100" s="19"/>
      <c r="P100" s="33"/>
      <c r="Q100" s="72"/>
      <c r="R100" s="19"/>
      <c r="S100" s="19"/>
      <c r="T100" s="19"/>
      <c r="U100" s="25"/>
      <c r="V100" s="62"/>
      <c r="W100" s="7">
        <f>+IF(AND(B26&gt;3,B26&lt;10,G100&lt;0.03),1,0)+IF(AND(B26&gt;10,G100&lt;0.06),1,0)</f>
        <v>0</v>
      </c>
      <c r="X100" s="56"/>
      <c r="Y100" s="15"/>
      <c r="Z100" s="56"/>
      <c r="AA100" s="15"/>
      <c r="AB100" s="56"/>
      <c r="AC100" s="15"/>
      <c r="AD100" s="56"/>
      <c r="AE100" s="15"/>
      <c r="AF100" s="56"/>
      <c r="AG100" s="15"/>
      <c r="AH100" s="16"/>
      <c r="AI100" s="15"/>
    </row>
    <row r="101" spans="1:41" s="14" customFormat="1" outlineLevel="1">
      <c r="A101" s="68" t="s">
        <v>23</v>
      </c>
      <c r="B101" s="2">
        <v>0</v>
      </c>
      <c r="C101" s="500" t="s">
        <v>173</v>
      </c>
      <c r="D101" s="500"/>
      <c r="E101" s="500"/>
      <c r="F101" s="500"/>
      <c r="G101" s="52">
        <f>+IF(B27&gt;0,B101/B27,0)</f>
        <v>0</v>
      </c>
      <c r="H101" s="14" t="s">
        <v>262</v>
      </c>
      <c r="M101" s="86"/>
      <c r="N101" s="8"/>
      <c r="O101" s="19"/>
      <c r="P101" s="33"/>
      <c r="Q101" s="72"/>
      <c r="R101" s="19"/>
      <c r="S101" s="19"/>
      <c r="T101" s="19"/>
      <c r="U101" s="25"/>
      <c r="V101" s="62"/>
      <c r="W101" s="7">
        <f>+IF(AND(B27&gt;3,B27&lt;10,G101&lt;0.03),1,0)+IF(AND(B27&gt;10,G101&lt;0.06),1,0)</f>
        <v>0</v>
      </c>
      <c r="X101" s="56"/>
      <c r="Y101" s="15"/>
      <c r="Z101" s="56"/>
      <c r="AA101" s="15"/>
      <c r="AB101" s="56"/>
      <c r="AC101" s="15"/>
      <c r="AD101" s="56"/>
      <c r="AE101" s="15"/>
      <c r="AF101" s="56"/>
      <c r="AG101" s="15"/>
      <c r="AH101" s="16"/>
      <c r="AI101" s="15"/>
    </row>
    <row r="102" spans="1:41" s="14" customFormat="1" outlineLevel="1">
      <c r="A102" s="68" t="s">
        <v>24</v>
      </c>
      <c r="B102" s="2">
        <v>0</v>
      </c>
      <c r="C102" s="500" t="s">
        <v>172</v>
      </c>
      <c r="D102" s="500"/>
      <c r="E102" s="500"/>
      <c r="F102" s="500"/>
      <c r="G102" s="52">
        <f>+IF(B28&gt;0,B102/B28,0)</f>
        <v>0</v>
      </c>
      <c r="H102" s="14" t="s">
        <v>261</v>
      </c>
      <c r="M102" s="81"/>
      <c r="N102" s="8"/>
      <c r="O102" s="19"/>
      <c r="P102" s="33"/>
      <c r="Q102" s="72"/>
      <c r="R102" s="19"/>
      <c r="S102" s="19"/>
      <c r="T102" s="19"/>
      <c r="U102" s="25"/>
      <c r="V102" s="62"/>
      <c r="W102" s="61"/>
      <c r="X102" s="56"/>
      <c r="Y102" s="15"/>
      <c r="Z102" s="56"/>
      <c r="AA102" s="15"/>
      <c r="AB102" s="56"/>
      <c r="AC102" s="15"/>
      <c r="AD102" s="56"/>
      <c r="AE102" s="15"/>
      <c r="AF102" s="56"/>
      <c r="AG102" s="15"/>
      <c r="AH102" s="16"/>
      <c r="AI102" s="15"/>
    </row>
    <row r="103" spans="1:41" s="14" customFormat="1" ht="14.45" customHeight="1" outlineLevel="1">
      <c r="B103" s="84">
        <f>+ROUND(G79-SUM(B100:B102),2)</f>
        <v>0</v>
      </c>
      <c r="C103" s="83" t="str">
        <f>+IF(OR(LN=1,B103=0),"","le bilan des surfaces ne correspond pas! Différence de "&amp;B103&amp;" ha")</f>
        <v/>
      </c>
      <c r="D103" s="82"/>
      <c r="I103" s="52"/>
      <c r="M103" s="81"/>
      <c r="N103" s="8"/>
      <c r="O103" s="19"/>
      <c r="P103" s="33"/>
      <c r="Q103" s="72"/>
      <c r="R103" s="19"/>
      <c r="S103" s="19"/>
      <c r="T103" s="19"/>
      <c r="U103" s="25"/>
      <c r="V103" s="62"/>
      <c r="W103" s="61"/>
      <c r="X103" s="56"/>
      <c r="Y103" s="15"/>
      <c r="Z103" s="56"/>
      <c r="AA103" s="15"/>
      <c r="AB103" s="56"/>
      <c r="AC103" s="15"/>
      <c r="AD103" s="56"/>
      <c r="AE103" s="15"/>
      <c r="AF103" s="56"/>
      <c r="AG103" s="15"/>
      <c r="AH103" s="16"/>
      <c r="AI103" s="15"/>
    </row>
    <row r="104" spans="1:41" s="13" customFormat="1" outlineLevel="1">
      <c r="A104" s="11">
        <v>7</v>
      </c>
      <c r="B104" s="32" t="s">
        <v>260</v>
      </c>
      <c r="M104" s="80"/>
      <c r="N104" s="80"/>
      <c r="O104" s="19"/>
      <c r="P104" s="19"/>
      <c r="Q104" s="19"/>
      <c r="R104" s="19"/>
      <c r="S104" s="19"/>
      <c r="T104" s="19"/>
      <c r="U104" s="25"/>
      <c r="V104" s="77"/>
      <c r="W104" s="77"/>
      <c r="X104" s="79"/>
      <c r="Y104" s="78"/>
      <c r="Z104" s="79"/>
      <c r="AA104" s="78"/>
      <c r="AB104" s="79"/>
      <c r="AC104" s="78"/>
      <c r="AD104" s="79"/>
      <c r="AE104" s="78"/>
      <c r="AF104" s="79"/>
      <c r="AG104" s="78"/>
      <c r="AH104" s="79"/>
      <c r="AI104" s="78"/>
      <c r="AJ104" s="14"/>
      <c r="AK104" s="14"/>
      <c r="AL104" s="14"/>
      <c r="AM104" s="14"/>
      <c r="AN104" s="14"/>
      <c r="AO104" s="14"/>
    </row>
    <row r="105" spans="1:41" outlineLevel="1">
      <c r="A105" s="11">
        <v>7.1</v>
      </c>
      <c r="B105" s="74">
        <v>0</v>
      </c>
      <c r="C105" s="4" t="s">
        <v>259</v>
      </c>
      <c r="O105" s="19"/>
      <c r="P105" s="19"/>
      <c r="Q105" s="19"/>
      <c r="R105" s="19"/>
      <c r="S105" s="19"/>
      <c r="T105" s="19"/>
      <c r="U105" s="25"/>
    </row>
    <row r="106" spans="1:41" outlineLevel="1">
      <c r="B106" s="47" t="s">
        <v>1</v>
      </c>
      <c r="C106" s="43">
        <f>+B105/LN*20</f>
        <v>0</v>
      </c>
      <c r="D106" s="14" t="s">
        <v>258</v>
      </c>
      <c r="M106" s="404">
        <f>+IF(C106&gt;AH106,AI106,IF(C106&gt;AF106,AG106,IF(C106&gt;AD106,AE106,IF(C106&gt;AB106,AC106,IF(C106&gt;Z106,AA106,IF(C106&gt;=X106,Y106,0))))))</f>
        <v>0</v>
      </c>
      <c r="O106" s="33" t="str">
        <f>+X106&amp;"-"&amp;Z106</f>
        <v>1-2</v>
      </c>
      <c r="P106" s="19" t="str">
        <f>+"&gt;"&amp;Z106&amp;"-"&amp;AB106</f>
        <v>&gt;2-3</v>
      </c>
      <c r="Q106" s="72" t="str">
        <f>+"&gt;"&amp;AB106&amp;"-"&amp;AD106</f>
        <v>&gt;3-4</v>
      </c>
      <c r="R106" s="19" t="str">
        <f>+"&gt;"&amp;AD106&amp;"-"&amp;AF106</f>
        <v>&gt;4-5</v>
      </c>
      <c r="S106" s="19" t="str">
        <f>+"&gt;"&amp;AF106&amp;"-"&amp;AH106</f>
        <v>&gt;5-6</v>
      </c>
      <c r="T106" s="19" t="str">
        <f>+"&gt;"&amp;AH106</f>
        <v>&gt;6</v>
      </c>
      <c r="U106" s="25"/>
      <c r="V106" s="77">
        <v>3</v>
      </c>
      <c r="X106" s="6">
        <v>1</v>
      </c>
      <c r="Y106" s="5">
        <v>1</v>
      </c>
      <c r="Z106" s="6">
        <v>2</v>
      </c>
      <c r="AA106" s="5">
        <v>2</v>
      </c>
      <c r="AB106" s="6">
        <v>3</v>
      </c>
      <c r="AC106" s="5">
        <v>3</v>
      </c>
      <c r="AD106" s="6">
        <v>4</v>
      </c>
      <c r="AE106" s="5">
        <v>4</v>
      </c>
      <c r="AF106" s="6">
        <v>5</v>
      </c>
      <c r="AG106" s="15">
        <v>5</v>
      </c>
      <c r="AH106" s="16">
        <v>6</v>
      </c>
      <c r="AI106" s="5">
        <v>6</v>
      </c>
    </row>
    <row r="107" spans="1:41" hidden="1" outlineLevel="1">
      <c r="B107" s="4" t="s">
        <v>301</v>
      </c>
      <c r="C107" s="47"/>
      <c r="D107" s="26"/>
      <c r="E107" s="14"/>
      <c r="M107" s="404"/>
      <c r="O107" s="33"/>
      <c r="P107" s="19"/>
      <c r="Q107" s="72"/>
      <c r="R107" s="19"/>
      <c r="S107" s="19"/>
      <c r="T107" s="19"/>
      <c r="U107" s="25"/>
      <c r="V107" s="77"/>
      <c r="AG107" s="15"/>
      <c r="AH107" s="16"/>
    </row>
    <row r="108" spans="1:41" hidden="1" outlineLevel="1">
      <c r="C108" s="47"/>
      <c r="D108" s="26"/>
      <c r="E108" s="14"/>
      <c r="M108" s="404"/>
      <c r="O108" s="33"/>
      <c r="P108" s="19"/>
      <c r="Q108" s="72"/>
      <c r="R108" s="19"/>
      <c r="S108" s="19"/>
      <c r="T108" s="19"/>
      <c r="U108" s="25"/>
      <c r="V108" s="77"/>
      <c r="AG108" s="15"/>
      <c r="AH108" s="16"/>
    </row>
    <row r="109" spans="1:41" hidden="1" outlineLevel="1">
      <c r="C109" s="47"/>
      <c r="D109" s="26"/>
      <c r="E109" s="14"/>
      <c r="M109" s="404"/>
      <c r="O109" s="33"/>
      <c r="P109" s="19"/>
      <c r="Q109" s="72"/>
      <c r="R109" s="19"/>
      <c r="S109" s="19"/>
      <c r="T109" s="19"/>
      <c r="U109" s="25"/>
      <c r="V109" s="77"/>
      <c r="AG109" s="15"/>
      <c r="AH109" s="16"/>
    </row>
    <row r="110" spans="1:41" hidden="1" outlineLevel="1">
      <c r="C110" s="47"/>
      <c r="D110" s="26"/>
      <c r="E110" s="14"/>
      <c r="M110" s="404"/>
      <c r="O110" s="33"/>
      <c r="P110" s="19"/>
      <c r="Q110" s="72"/>
      <c r="R110" s="19"/>
      <c r="S110" s="19"/>
      <c r="T110" s="19"/>
      <c r="U110" s="25"/>
      <c r="V110" s="77"/>
      <c r="AG110" s="15"/>
      <c r="AH110" s="16"/>
    </row>
    <row r="111" spans="1:41" hidden="1" outlineLevel="1">
      <c r="C111" s="47"/>
      <c r="D111" s="26"/>
      <c r="E111" s="14"/>
      <c r="M111" s="404"/>
      <c r="O111" s="33"/>
      <c r="P111" s="19"/>
      <c r="Q111" s="72"/>
      <c r="R111" s="19"/>
      <c r="S111" s="19"/>
      <c r="T111" s="19"/>
      <c r="U111" s="25"/>
      <c r="V111" s="77"/>
      <c r="AG111" s="15"/>
      <c r="AH111" s="16"/>
    </row>
    <row r="112" spans="1:41" hidden="1" outlineLevel="1">
      <c r="C112" s="47"/>
      <c r="D112" s="26"/>
      <c r="E112" s="14"/>
      <c r="M112" s="404"/>
      <c r="O112" s="33"/>
      <c r="P112" s="19"/>
      <c r="Q112" s="72"/>
      <c r="R112" s="19"/>
      <c r="S112" s="19"/>
      <c r="T112" s="19"/>
      <c r="U112" s="25"/>
      <c r="V112" s="77"/>
      <c r="AG112" s="15"/>
      <c r="AH112" s="16"/>
    </row>
    <row r="113" spans="1:79" ht="6" customHeight="1" outlineLevel="1">
      <c r="D113" s="13"/>
      <c r="E113" s="13"/>
      <c r="F113" s="13"/>
      <c r="G113" s="13"/>
      <c r="H113" s="13"/>
      <c r="M113" s="36"/>
      <c r="N113" s="9"/>
      <c r="O113" s="19"/>
      <c r="P113" s="19"/>
      <c r="Q113" s="19"/>
      <c r="R113" s="19"/>
      <c r="S113" s="19"/>
      <c r="T113" s="19"/>
      <c r="U113" s="18"/>
    </row>
    <row r="114" spans="1:79" outlineLevel="1">
      <c r="A114" s="11">
        <v>8</v>
      </c>
      <c r="B114" s="32" t="s">
        <v>164</v>
      </c>
      <c r="M114" s="36"/>
      <c r="O114" s="19"/>
      <c r="P114" s="19"/>
      <c r="Q114" s="19"/>
      <c r="R114" s="19"/>
      <c r="S114" s="19"/>
      <c r="T114" s="19"/>
      <c r="U114" s="25"/>
    </row>
    <row r="115" spans="1:79" outlineLevel="1">
      <c r="A115" s="68" t="s">
        <v>28</v>
      </c>
      <c r="B115" s="76">
        <f>+K76</f>
        <v>0</v>
      </c>
      <c r="C115" s="14" t="s">
        <v>257</v>
      </c>
      <c r="M115" s="36"/>
      <c r="O115" s="19"/>
      <c r="P115" s="19"/>
      <c r="Q115" s="19"/>
      <c r="R115" s="19"/>
      <c r="S115" s="19"/>
      <c r="T115" s="19"/>
      <c r="U115" s="25"/>
    </row>
    <row r="116" spans="1:79" s="14" customFormat="1" outlineLevel="1">
      <c r="A116" s="11"/>
      <c r="B116" s="47" t="s">
        <v>1</v>
      </c>
      <c r="C116" s="52">
        <f>+B115/LN</f>
        <v>0</v>
      </c>
      <c r="D116" s="14" t="s">
        <v>162</v>
      </c>
      <c r="M116" s="404">
        <f>+IF(C116&gt;AB116,AC116,IF(C116&gt;Z116,AA116,IF(C116&gt;=X116,Y116,0)))</f>
        <v>0</v>
      </c>
      <c r="O116" s="33" t="str">
        <f>+X116*100&amp;"-"&amp;Z116*100</f>
        <v>5-7</v>
      </c>
      <c r="P116" s="72" t="str">
        <f>+"&gt;"&amp;Z116*100&amp;"-"&amp;AB116*100</f>
        <v>&gt;7-9</v>
      </c>
      <c r="Q116" s="19" t="str">
        <f>+"&gt;"&amp;AB116*100</f>
        <v>&gt;9</v>
      </c>
      <c r="R116" s="19"/>
      <c r="S116" s="25"/>
      <c r="T116" s="19"/>
      <c r="U116" s="25" t="s">
        <v>25</v>
      </c>
      <c r="V116" s="62">
        <v>2</v>
      </c>
      <c r="W116" s="61"/>
      <c r="X116" s="56">
        <v>0.05</v>
      </c>
      <c r="Y116" s="15">
        <v>1</v>
      </c>
      <c r="Z116" s="56">
        <v>7.0000000000000007E-2</v>
      </c>
      <c r="AA116" s="15">
        <v>2</v>
      </c>
      <c r="AB116" s="56">
        <v>0.09</v>
      </c>
      <c r="AC116" s="15">
        <v>3</v>
      </c>
      <c r="AD116" s="56"/>
      <c r="AE116" s="15"/>
      <c r="AF116" s="16"/>
      <c r="AG116" s="15"/>
      <c r="AH116" s="16"/>
      <c r="AI116" s="15"/>
    </row>
    <row r="117" spans="1:79" ht="6.6" customHeight="1" outlineLevel="1">
      <c r="D117" s="13"/>
      <c r="E117" s="13"/>
      <c r="F117" s="13"/>
      <c r="G117" s="13"/>
      <c r="H117" s="13"/>
      <c r="M117" s="36"/>
      <c r="N117" s="9"/>
      <c r="O117" s="19"/>
      <c r="P117" s="19"/>
      <c r="Q117" s="19"/>
      <c r="R117" s="19"/>
      <c r="S117" s="19"/>
      <c r="T117" s="19"/>
      <c r="U117" s="18"/>
    </row>
    <row r="118" spans="1:79" outlineLevel="1">
      <c r="A118" s="11">
        <v>9</v>
      </c>
      <c r="B118" s="32" t="s">
        <v>161</v>
      </c>
      <c r="E118" s="13"/>
      <c r="F118" s="13"/>
      <c r="G118" s="13"/>
      <c r="H118" s="13"/>
      <c r="M118" s="36"/>
      <c r="O118" s="19"/>
      <c r="P118" s="19"/>
      <c r="Q118" s="19"/>
      <c r="R118" s="19"/>
      <c r="S118" s="19"/>
      <c r="T118" s="19"/>
      <c r="U118" s="25"/>
    </row>
    <row r="119" spans="1:79" outlineLevel="1">
      <c r="A119" s="65" t="s">
        <v>256</v>
      </c>
      <c r="B119" s="35">
        <v>0</v>
      </c>
      <c r="C119" s="14" t="s">
        <v>255</v>
      </c>
      <c r="E119" s="13"/>
      <c r="F119" s="13"/>
      <c r="G119" s="13"/>
      <c r="H119" s="13"/>
      <c r="M119" s="34"/>
      <c r="O119" s="33"/>
      <c r="P119" s="33"/>
      <c r="Q119" s="72"/>
      <c r="R119" s="19"/>
      <c r="S119" s="19"/>
      <c r="T119" s="19"/>
      <c r="U119" s="25"/>
      <c r="V119" s="62"/>
      <c r="W119" s="61"/>
      <c r="X119" s="56"/>
      <c r="Y119" s="15"/>
      <c r="Z119" s="56"/>
      <c r="AA119" s="15"/>
      <c r="AB119" s="56"/>
      <c r="AC119" s="15"/>
      <c r="AD119" s="56"/>
      <c r="AE119" s="15"/>
      <c r="AF119" s="16"/>
      <c r="AG119" s="15"/>
      <c r="AH119" s="16"/>
      <c r="AI119" s="15"/>
    </row>
    <row r="120" spans="1:79" outlineLevel="1">
      <c r="B120" s="47" t="s">
        <v>1</v>
      </c>
      <c r="C120" s="52">
        <f>+B119/LN*20</f>
        <v>0</v>
      </c>
      <c r="D120" s="14" t="s">
        <v>254</v>
      </c>
      <c r="M120" s="404">
        <f>+IF(C120&gt;AD120,AE120,IF(C120&gt;AB120,AC120,IF(C120&gt;Z120,AA120,IF(C120&gt;=X120,Y120,0))))</f>
        <v>0</v>
      </c>
      <c r="O120" s="33" t="str">
        <f>+X120&amp;"-"&amp;Z120</f>
        <v>3-5</v>
      </c>
      <c r="P120" s="33" t="str">
        <f>+"&gt;"&amp;Z120&amp;"-"&amp;AB120</f>
        <v>&gt;5-7</v>
      </c>
      <c r="Q120" s="72" t="str">
        <f>+"&gt;"&amp;AB120&amp;"-"&amp;AD120</f>
        <v>&gt;7-9</v>
      </c>
      <c r="R120" s="19" t="str">
        <f>+"&gt;"&amp;AD120</f>
        <v>&gt;9</v>
      </c>
      <c r="S120" s="19"/>
      <c r="T120" s="19"/>
      <c r="U120" s="25"/>
      <c r="V120" s="62">
        <v>3</v>
      </c>
      <c r="W120" s="62"/>
      <c r="X120" s="6">
        <v>3</v>
      </c>
      <c r="Y120" s="5">
        <v>1</v>
      </c>
      <c r="Z120" s="6">
        <v>5</v>
      </c>
      <c r="AA120" s="5">
        <v>2</v>
      </c>
      <c r="AB120" s="6">
        <v>7</v>
      </c>
      <c r="AC120" s="5">
        <v>3</v>
      </c>
      <c r="AD120" s="6">
        <v>9</v>
      </c>
      <c r="AE120" s="5">
        <v>4</v>
      </c>
      <c r="AF120" s="16"/>
    </row>
    <row r="121" spans="1:79" hidden="1" outlineLevel="1">
      <c r="B121" s="4" t="s">
        <v>302</v>
      </c>
      <c r="C121" s="47"/>
      <c r="D121" s="26"/>
      <c r="E121" s="14"/>
      <c r="M121" s="404"/>
      <c r="O121" s="33"/>
      <c r="P121" s="33"/>
      <c r="Q121" s="72"/>
      <c r="R121" s="19"/>
      <c r="S121" s="19"/>
      <c r="T121" s="19"/>
      <c r="U121" s="25"/>
      <c r="V121" s="62"/>
      <c r="W121" s="62"/>
      <c r="AF121" s="16"/>
    </row>
    <row r="122" spans="1:79" hidden="1" outlineLevel="1">
      <c r="C122" s="47"/>
      <c r="D122" s="26"/>
      <c r="E122" s="14"/>
      <c r="M122" s="404"/>
      <c r="O122" s="33"/>
      <c r="P122" s="33"/>
      <c r="Q122" s="72"/>
      <c r="R122" s="19"/>
      <c r="S122" s="19"/>
      <c r="T122" s="19"/>
      <c r="U122" s="25"/>
      <c r="V122" s="62"/>
      <c r="W122" s="62"/>
      <c r="AF122" s="16"/>
    </row>
    <row r="123" spans="1:79" hidden="1" outlineLevel="1">
      <c r="C123" s="47"/>
      <c r="D123" s="26"/>
      <c r="E123" s="14"/>
      <c r="M123" s="404"/>
      <c r="O123" s="33"/>
      <c r="P123" s="33"/>
      <c r="Q123" s="72"/>
      <c r="R123" s="19"/>
      <c r="S123" s="19"/>
      <c r="T123" s="19"/>
      <c r="U123" s="25"/>
      <c r="V123" s="62"/>
      <c r="W123" s="62"/>
      <c r="AF123" s="16"/>
    </row>
    <row r="124" spans="1:79" hidden="1" outlineLevel="1">
      <c r="C124" s="47"/>
      <c r="D124" s="26"/>
      <c r="E124" s="14"/>
      <c r="M124" s="404"/>
      <c r="O124" s="33"/>
      <c r="P124" s="33"/>
      <c r="Q124" s="72"/>
      <c r="R124" s="19"/>
      <c r="S124" s="19"/>
      <c r="T124" s="19"/>
      <c r="U124" s="25"/>
      <c r="V124" s="62"/>
      <c r="W124" s="62"/>
      <c r="AF124" s="16"/>
    </row>
    <row r="125" spans="1:79" hidden="1" outlineLevel="1">
      <c r="C125" s="47"/>
      <c r="D125" s="26"/>
      <c r="E125" s="14"/>
      <c r="M125" s="404"/>
      <c r="O125" s="33"/>
      <c r="P125" s="33"/>
      <c r="Q125" s="72"/>
      <c r="R125" s="19"/>
      <c r="S125" s="19"/>
      <c r="T125" s="19"/>
      <c r="U125" s="25"/>
      <c r="V125" s="62"/>
      <c r="W125" s="62"/>
      <c r="AF125" s="16"/>
    </row>
    <row r="126" spans="1:79" hidden="1" outlineLevel="1">
      <c r="C126" s="47"/>
      <c r="D126" s="26"/>
      <c r="E126" s="14"/>
      <c r="M126" s="404"/>
      <c r="O126" s="33"/>
      <c r="P126" s="33"/>
      <c r="Q126" s="72"/>
      <c r="R126" s="19"/>
      <c r="S126" s="19"/>
      <c r="T126" s="19"/>
      <c r="U126" s="25"/>
      <c r="V126" s="62"/>
      <c r="W126" s="62"/>
      <c r="AF126" s="16"/>
    </row>
    <row r="127" spans="1:79" ht="6" customHeight="1" outlineLevel="1">
      <c r="D127" s="13"/>
      <c r="E127" s="13"/>
      <c r="F127" s="13"/>
      <c r="G127" s="13"/>
      <c r="H127" s="13"/>
      <c r="N127" s="9"/>
      <c r="O127" s="19"/>
      <c r="P127" s="19"/>
      <c r="Q127" s="19"/>
      <c r="R127" s="19"/>
      <c r="S127" s="19"/>
      <c r="T127" s="19"/>
      <c r="U127" s="18"/>
    </row>
    <row r="128" spans="1:79" outlineLevel="1">
      <c r="A128" s="450" t="s">
        <v>253</v>
      </c>
      <c r="B128" s="451"/>
      <c r="C128" s="450"/>
      <c r="D128" s="451"/>
      <c r="E128" s="451"/>
      <c r="F128" s="451"/>
      <c r="G128" s="451"/>
      <c r="H128" s="451"/>
      <c r="I128" s="451"/>
      <c r="J128" s="451"/>
      <c r="K128" s="451"/>
      <c r="L128" s="451"/>
      <c r="M128" s="451"/>
      <c r="N128" s="452">
        <f>M120+M116+M106+M98+M86+M85+M50+M43+M42</f>
        <v>0</v>
      </c>
      <c r="O128" s="453"/>
      <c r="P128" s="453"/>
      <c r="Q128" s="453"/>
      <c r="R128" s="453"/>
      <c r="S128" s="453"/>
      <c r="T128" s="453"/>
      <c r="U128" s="454"/>
      <c r="V128" s="9"/>
      <c r="W128" s="9"/>
      <c r="X128" s="4"/>
      <c r="Y128" s="4"/>
      <c r="Z128" s="4"/>
      <c r="AA128" s="4"/>
      <c r="AB128" s="4"/>
      <c r="AC128" s="4"/>
      <c r="AD128" s="4"/>
      <c r="AE128" s="4"/>
      <c r="AF128" s="4"/>
      <c r="AG128" s="4"/>
      <c r="AH128" s="4"/>
      <c r="AI128" s="4"/>
      <c r="AJ128" s="8"/>
      <c r="AK128" s="8"/>
      <c r="AL128" s="8"/>
      <c r="AM128" s="8"/>
      <c r="AN128" s="8"/>
      <c r="AO128" s="8"/>
      <c r="AP128" s="8"/>
      <c r="AQ128" s="8"/>
      <c r="AR128" s="8"/>
      <c r="AS128" s="8"/>
      <c r="AT128" s="8"/>
      <c r="AU128" s="8"/>
      <c r="AV128" s="8"/>
      <c r="AW128" s="8"/>
      <c r="AX128" s="8"/>
      <c r="AY128" s="8"/>
      <c r="AZ128" s="8"/>
      <c r="BA128" s="8"/>
      <c r="BB128" s="8"/>
      <c r="BC128" s="8"/>
      <c r="BD128" s="8"/>
      <c r="BE128" s="8"/>
      <c r="BF128" s="8"/>
      <c r="BG128" s="8"/>
      <c r="BH128" s="8"/>
      <c r="BI128" s="8"/>
      <c r="BJ128" s="8"/>
      <c r="BK128" s="8"/>
      <c r="BL128" s="8"/>
      <c r="BM128" s="8"/>
      <c r="BN128" s="8"/>
      <c r="BO128" s="8"/>
      <c r="BP128" s="8"/>
      <c r="BQ128" s="8"/>
      <c r="BR128" s="8"/>
      <c r="BS128" s="8"/>
      <c r="BT128" s="8"/>
      <c r="BU128" s="8"/>
      <c r="BV128" s="8"/>
      <c r="BW128" s="8"/>
      <c r="BX128" s="8"/>
      <c r="BY128" s="8"/>
      <c r="BZ128" s="8"/>
      <c r="CA128" s="8"/>
    </row>
    <row r="129" spans="1:36" s="4" customFormat="1">
      <c r="A129" s="450" t="s">
        <v>252</v>
      </c>
      <c r="B129" s="451"/>
      <c r="C129" s="451"/>
      <c r="D129" s="460"/>
      <c r="E129" s="460"/>
      <c r="F129" s="460"/>
      <c r="G129" s="460"/>
      <c r="H129" s="460"/>
      <c r="I129" s="451"/>
      <c r="J129" s="451"/>
      <c r="K129" s="451"/>
      <c r="L129" s="451"/>
      <c r="M129" s="459"/>
      <c r="N129" s="459"/>
      <c r="O129" s="459"/>
      <c r="P129" s="459"/>
      <c r="Q129" s="459"/>
      <c r="R129" s="459"/>
      <c r="S129" s="459"/>
      <c r="T129" s="459"/>
      <c r="U129" s="454"/>
      <c r="V129" s="9"/>
      <c r="W129" s="9"/>
    </row>
    <row r="130" spans="1:36" s="4" customFormat="1" ht="6" customHeight="1">
      <c r="A130" s="11"/>
      <c r="D130" s="13"/>
      <c r="E130" s="13"/>
      <c r="F130" s="13"/>
      <c r="G130" s="13"/>
      <c r="H130" s="13"/>
      <c r="M130" s="9"/>
      <c r="N130" s="9"/>
      <c r="O130" s="9"/>
      <c r="P130" s="9"/>
      <c r="Q130" s="9"/>
      <c r="R130" s="9"/>
      <c r="S130" s="9"/>
      <c r="T130" s="9"/>
      <c r="U130" s="8"/>
      <c r="V130" s="9"/>
      <c r="W130" s="9"/>
    </row>
    <row r="131" spans="1:36" s="4" customFormat="1" ht="15.75">
      <c r="A131" s="450" t="s">
        <v>152</v>
      </c>
      <c r="B131" s="451"/>
      <c r="C131" s="450"/>
      <c r="D131" s="451"/>
      <c r="E131" s="451"/>
      <c r="F131" s="451"/>
      <c r="G131" s="451"/>
      <c r="H131" s="451"/>
      <c r="I131" s="451"/>
      <c r="J131" s="451"/>
      <c r="K131" s="456"/>
      <c r="L131" s="456"/>
      <c r="M131" s="455" t="s">
        <v>121</v>
      </c>
      <c r="N131" s="455" t="s">
        <v>27</v>
      </c>
      <c r="O131" s="453" t="s">
        <v>251</v>
      </c>
      <c r="P131" s="453" t="s">
        <v>250</v>
      </c>
      <c r="Q131" s="453" t="s">
        <v>249</v>
      </c>
      <c r="R131" s="453" t="s">
        <v>248</v>
      </c>
      <c r="S131" s="453"/>
      <c r="T131" s="453"/>
      <c r="U131" s="453" t="s">
        <v>116</v>
      </c>
      <c r="V131" s="9"/>
      <c r="W131" s="9"/>
    </row>
    <row r="132" spans="1:36" ht="6" customHeight="1">
      <c r="D132" s="13"/>
      <c r="E132" s="13"/>
      <c r="F132" s="13"/>
      <c r="G132" s="13"/>
      <c r="H132" s="13"/>
      <c r="N132" s="9"/>
      <c r="O132" s="19"/>
      <c r="P132" s="19"/>
      <c r="Q132" s="19"/>
      <c r="R132" s="19"/>
      <c r="S132" s="19"/>
      <c r="T132" s="19"/>
      <c r="U132" s="18"/>
    </row>
    <row r="133" spans="1:36" s="14" customFormat="1">
      <c r="A133" s="11">
        <v>10</v>
      </c>
      <c r="B133" s="32" t="s">
        <v>151</v>
      </c>
      <c r="E133" s="32"/>
      <c r="F133" s="32"/>
      <c r="G133" s="32"/>
      <c r="H133" s="32"/>
      <c r="M133" s="31"/>
      <c r="N133" s="8"/>
      <c r="O133" s="19"/>
      <c r="P133" s="19"/>
      <c r="Q133" s="19"/>
      <c r="R133" s="19"/>
      <c r="S133" s="19"/>
      <c r="T133" s="19"/>
      <c r="U133" s="25"/>
      <c r="V133" s="17"/>
      <c r="W133" s="17"/>
      <c r="X133" s="16"/>
      <c r="Y133" s="15"/>
      <c r="Z133" s="16"/>
      <c r="AA133" s="15"/>
      <c r="AB133" s="16"/>
      <c r="AC133" s="15"/>
      <c r="AD133" s="16"/>
      <c r="AE133" s="15"/>
      <c r="AF133" s="16"/>
      <c r="AG133" s="15"/>
      <c r="AH133" s="16"/>
      <c r="AI133" s="15"/>
    </row>
    <row r="134" spans="1:36" s="14" customFormat="1">
      <c r="A134" s="11">
        <v>10.1</v>
      </c>
      <c r="B134" s="64">
        <v>0</v>
      </c>
      <c r="C134" s="500" t="s">
        <v>150</v>
      </c>
      <c r="D134" s="500"/>
      <c r="E134" s="500"/>
      <c r="F134" s="500"/>
      <c r="G134" s="500"/>
      <c r="H134" s="500"/>
      <c r="I134" s="500"/>
      <c r="J134" s="500"/>
      <c r="K134" s="500"/>
      <c r="L134" s="500"/>
      <c r="M134" s="139"/>
      <c r="N134" s="8"/>
      <c r="O134" s="19"/>
      <c r="P134" s="19"/>
      <c r="Q134" s="19"/>
      <c r="R134" s="19"/>
      <c r="S134" s="19"/>
      <c r="T134" s="19"/>
      <c r="U134" s="25"/>
      <c r="V134" s="17"/>
      <c r="W134" s="17"/>
      <c r="X134" s="16"/>
      <c r="Y134" s="15"/>
      <c r="Z134" s="16"/>
      <c r="AA134" s="15"/>
      <c r="AB134" s="16"/>
      <c r="AC134" s="15"/>
      <c r="AD134" s="16"/>
      <c r="AE134" s="15"/>
      <c r="AF134" s="16"/>
      <c r="AG134" s="15"/>
      <c r="AH134" s="16"/>
      <c r="AI134" s="15"/>
      <c r="AJ134" s="70"/>
    </row>
    <row r="135" spans="1:36" s="14" customFormat="1">
      <c r="A135" s="11"/>
      <c r="B135" s="47" t="s">
        <v>1</v>
      </c>
      <c r="C135" s="85">
        <f>+IF(offene_Ackerfläche&gt;0,B134/offene_Ackerfläche,0)</f>
        <v>0</v>
      </c>
      <c r="D135" s="500" t="s">
        <v>142</v>
      </c>
      <c r="E135" s="500"/>
      <c r="F135" s="500"/>
      <c r="G135" s="500"/>
      <c r="H135" s="500"/>
      <c r="I135" s="500"/>
      <c r="J135" s="500"/>
      <c r="K135" s="500"/>
      <c r="L135" s="500"/>
      <c r="M135" s="53">
        <f>+IF(C135&gt;AD135,AE135,IF(C135&gt;AB135,AC135,IF(C135&gt;Z135,AA135,IF(C135&gt;=X135,Y135,0))))</f>
        <v>0</v>
      </c>
      <c r="N135" s="8"/>
      <c r="O135" s="33" t="str">
        <f>+X135*100&amp;"-"&amp;Z135*100</f>
        <v>3-5</v>
      </c>
      <c r="P135" s="19" t="str">
        <f>+"&gt;"&amp;Z135*100&amp;"-"&amp;AB135*100</f>
        <v>&gt;5-10</v>
      </c>
      <c r="Q135" s="19" t="str">
        <f>+"&gt;"&amp;AB135*100&amp;"-"&amp;AD135*100</f>
        <v>&gt;10-20</v>
      </c>
      <c r="R135" s="19" t="str">
        <f>+"&gt;"&amp;AD135*100</f>
        <v>&gt;20</v>
      </c>
      <c r="S135" s="27"/>
      <c r="T135" s="19"/>
      <c r="U135" s="25" t="s">
        <v>15</v>
      </c>
      <c r="V135" s="41"/>
      <c r="W135" s="41"/>
      <c r="X135" s="50">
        <v>0.03</v>
      </c>
      <c r="Y135" s="15">
        <v>0.5</v>
      </c>
      <c r="Z135" s="50">
        <v>0.05</v>
      </c>
      <c r="AA135" s="15">
        <v>1</v>
      </c>
      <c r="AB135" s="50">
        <v>0.1</v>
      </c>
      <c r="AC135" s="15">
        <v>1.5</v>
      </c>
      <c r="AD135" s="50">
        <v>0.2</v>
      </c>
      <c r="AE135" s="15">
        <v>2</v>
      </c>
      <c r="AF135" s="50"/>
      <c r="AG135" s="15"/>
      <c r="AH135" s="50"/>
      <c r="AI135" s="15"/>
    </row>
    <row r="136" spans="1:36" s="14" customFormat="1">
      <c r="A136" s="65" t="s">
        <v>55</v>
      </c>
      <c r="B136" s="64">
        <v>0</v>
      </c>
      <c r="C136" s="500" t="s">
        <v>149</v>
      </c>
      <c r="D136" s="500"/>
      <c r="E136" s="500"/>
      <c r="F136" s="500"/>
      <c r="G136" s="500"/>
      <c r="H136" s="32"/>
      <c r="L136" s="32"/>
      <c r="M136" s="34"/>
      <c r="N136" s="34"/>
      <c r="O136" s="33"/>
      <c r="P136" s="33"/>
      <c r="Q136" s="19"/>
      <c r="R136" s="19"/>
      <c r="S136" s="19"/>
      <c r="T136" s="19"/>
      <c r="U136" s="19"/>
      <c r="V136" s="41"/>
      <c r="W136" s="17"/>
      <c r="X136" s="56"/>
      <c r="Y136" s="15"/>
      <c r="Z136" s="56"/>
      <c r="AA136" s="55"/>
      <c r="AB136" s="56"/>
      <c r="AC136" s="55"/>
      <c r="AD136" s="56"/>
      <c r="AE136" s="55"/>
      <c r="AF136" s="16"/>
      <c r="AG136" s="15"/>
      <c r="AH136" s="16"/>
      <c r="AI136" s="15"/>
      <c r="AJ136" s="70"/>
    </row>
    <row r="137" spans="1:36" s="14" customFormat="1">
      <c r="A137" s="11"/>
      <c r="B137" s="47" t="s">
        <v>1</v>
      </c>
      <c r="C137" s="85">
        <f>+IF(offene_Ackerfläche&gt;0,B136/offene_Ackerfläche,0)</f>
        <v>0</v>
      </c>
      <c r="D137" s="500" t="s">
        <v>142</v>
      </c>
      <c r="E137" s="500"/>
      <c r="F137" s="500"/>
      <c r="G137" s="500"/>
      <c r="H137" s="500"/>
      <c r="I137" s="500"/>
      <c r="J137" s="500"/>
      <c r="K137" s="500"/>
      <c r="L137" s="500"/>
      <c r="M137" s="53">
        <f>+IF(C137&gt;AD137,AE137,IF(C137&gt;AB137,AC137,IF(C137&gt;Z137,AA137,IF(C137&gt;=X137,Y137,0))))</f>
        <v>0</v>
      </c>
      <c r="N137" s="34"/>
      <c r="O137" s="33" t="str">
        <f>+X137*100&amp;"-"&amp;Z137*100</f>
        <v>3-5</v>
      </c>
      <c r="P137" s="19" t="str">
        <f>+"&gt;"&amp;Z137*100&amp;"-"&amp;AB137*100</f>
        <v>&gt;5-10</v>
      </c>
      <c r="Q137" s="19" t="str">
        <f>+"&gt;"&amp;AB137*100&amp;"-"&amp;AD137*100</f>
        <v>&gt;10-20</v>
      </c>
      <c r="R137" s="19" t="str">
        <f>+"&gt;"&amp;AD137*100</f>
        <v>&gt;20</v>
      </c>
      <c r="S137" s="27"/>
      <c r="T137" s="19"/>
      <c r="U137" s="25" t="s">
        <v>15</v>
      </c>
      <c r="V137" s="41"/>
      <c r="W137" s="17"/>
      <c r="X137" s="56">
        <v>0.03</v>
      </c>
      <c r="Y137" s="15">
        <v>0.5</v>
      </c>
      <c r="Z137" s="56">
        <v>0.05</v>
      </c>
      <c r="AA137" s="55">
        <v>1</v>
      </c>
      <c r="AB137" s="56">
        <v>0.1</v>
      </c>
      <c r="AC137" s="55">
        <v>1.5</v>
      </c>
      <c r="AD137" s="56">
        <v>0.2</v>
      </c>
      <c r="AE137" s="55">
        <v>2</v>
      </c>
      <c r="AF137" s="16"/>
      <c r="AG137" s="15"/>
      <c r="AH137" s="16"/>
      <c r="AI137" s="15"/>
      <c r="AJ137" s="70"/>
    </row>
    <row r="138" spans="1:36" s="14" customFormat="1">
      <c r="A138" s="11">
        <v>10.199999999999999</v>
      </c>
      <c r="B138" s="64">
        <v>0</v>
      </c>
      <c r="C138" s="500" t="s">
        <v>148</v>
      </c>
      <c r="D138" s="500"/>
      <c r="E138" s="500"/>
      <c r="F138" s="500"/>
      <c r="G138" s="500"/>
      <c r="H138" s="500"/>
      <c r="I138" s="500"/>
      <c r="J138" s="500"/>
      <c r="K138" s="500"/>
      <c r="L138" s="500"/>
      <c r="M138" s="34"/>
      <c r="N138" s="8"/>
      <c r="O138" s="69"/>
      <c r="P138" s="19"/>
      <c r="Q138" s="19"/>
      <c r="R138" s="19"/>
      <c r="S138" s="19"/>
      <c r="T138" s="19"/>
      <c r="U138" s="25"/>
      <c r="V138" s="41"/>
      <c r="W138" s="41"/>
      <c r="X138" s="50"/>
      <c r="Y138" s="15"/>
      <c r="Z138" s="50"/>
      <c r="AA138" s="15"/>
      <c r="AB138" s="50"/>
      <c r="AC138" s="15"/>
      <c r="AD138" s="50"/>
      <c r="AE138" s="15"/>
      <c r="AF138" s="16"/>
      <c r="AG138" s="15"/>
      <c r="AH138" s="16"/>
      <c r="AI138" s="15"/>
    </row>
    <row r="139" spans="1:36" s="14" customFormat="1">
      <c r="A139" s="11"/>
      <c r="B139" s="47" t="s">
        <v>1</v>
      </c>
      <c r="C139" s="85">
        <f>+IF(offene_Ackerfläche&gt;0,B138/offene_Ackerfläche,0)</f>
        <v>0</v>
      </c>
      <c r="D139" s="500" t="s">
        <v>142</v>
      </c>
      <c r="E139" s="500"/>
      <c r="F139" s="500"/>
      <c r="G139" s="500"/>
      <c r="H139" s="500"/>
      <c r="I139" s="500"/>
      <c r="J139" s="500"/>
      <c r="K139" s="500"/>
      <c r="L139" s="500"/>
      <c r="M139" s="53">
        <f>+IF(C139&gt;AD139,AE139,IF(C139&gt;AB139,AC139,IF(C139&gt;Z139,AA139,IF(C139&gt;=X139,Y139,0))))</f>
        <v>0</v>
      </c>
      <c r="N139" s="8"/>
      <c r="O139" s="33" t="str">
        <f>+X139*100&amp;"-"&amp;Z139*100</f>
        <v>3-5</v>
      </c>
      <c r="P139" s="19" t="str">
        <f>+"&gt;"&amp;Z139*100&amp;"-"&amp;AB139*100</f>
        <v>&gt;5-10</v>
      </c>
      <c r="Q139" s="19" t="str">
        <f>+"&gt;"&amp;AB139*100&amp;"-"&amp;AD139*100</f>
        <v>&gt;10-20</v>
      </c>
      <c r="R139" s="19" t="str">
        <f>+"&gt;"&amp;AD139*100</f>
        <v>&gt;20</v>
      </c>
      <c r="S139" s="27"/>
      <c r="T139" s="19"/>
      <c r="U139" s="25" t="s">
        <v>15</v>
      </c>
      <c r="V139" s="41"/>
      <c r="W139" s="41"/>
      <c r="X139" s="50">
        <v>0.03</v>
      </c>
      <c r="Y139" s="15">
        <v>0.5</v>
      </c>
      <c r="Z139" s="50">
        <v>0.05</v>
      </c>
      <c r="AA139" s="15">
        <v>1</v>
      </c>
      <c r="AB139" s="50">
        <v>0.1</v>
      </c>
      <c r="AC139" s="15">
        <v>1.5</v>
      </c>
      <c r="AD139" s="50">
        <v>0.2</v>
      </c>
      <c r="AE139" s="15">
        <v>2</v>
      </c>
      <c r="AF139" s="50"/>
      <c r="AG139" s="15"/>
      <c r="AH139" s="50"/>
      <c r="AI139" s="15"/>
    </row>
    <row r="140" spans="1:36" s="14" customFormat="1">
      <c r="A140" s="11">
        <v>10.3</v>
      </c>
      <c r="B140" s="64">
        <v>0</v>
      </c>
      <c r="C140" s="500" t="s">
        <v>147</v>
      </c>
      <c r="D140" s="500"/>
      <c r="E140" s="500"/>
      <c r="F140" s="500"/>
      <c r="G140" s="500"/>
      <c r="H140" s="500"/>
      <c r="I140" s="500"/>
      <c r="J140" s="500"/>
      <c r="K140" s="500"/>
      <c r="L140" s="500"/>
      <c r="M140" s="34"/>
      <c r="N140" s="8"/>
      <c r="O140" s="69"/>
      <c r="P140" s="19"/>
      <c r="Q140" s="19"/>
      <c r="R140" s="19"/>
      <c r="S140" s="19"/>
      <c r="T140" s="19"/>
      <c r="U140" s="25"/>
      <c r="V140" s="41"/>
      <c r="W140" s="41"/>
      <c r="X140" s="50"/>
      <c r="Y140" s="15"/>
      <c r="Z140" s="50"/>
      <c r="AA140" s="15"/>
      <c r="AB140" s="50"/>
      <c r="AC140" s="15"/>
      <c r="AD140" s="50"/>
      <c r="AE140" s="15"/>
      <c r="AF140" s="16"/>
      <c r="AG140" s="15"/>
      <c r="AH140" s="16"/>
      <c r="AI140" s="15"/>
    </row>
    <row r="141" spans="1:36" s="14" customFormat="1">
      <c r="B141" s="47" t="s">
        <v>1</v>
      </c>
      <c r="C141" s="85">
        <f>+IF(offene_Ackerfläche&gt;0,B140/offene_Ackerfläche,0)</f>
        <v>0</v>
      </c>
      <c r="D141" s="500" t="s">
        <v>142</v>
      </c>
      <c r="E141" s="500"/>
      <c r="F141" s="500"/>
      <c r="G141" s="500"/>
      <c r="H141" s="500"/>
      <c r="I141" s="500"/>
      <c r="J141" s="500"/>
      <c r="K141" s="500"/>
      <c r="L141" s="500"/>
      <c r="M141" s="53">
        <f>+IF(C141&gt;AD141,AE141,IF(C141&gt;AB141,AC141,IF(C141&gt;Z141,AA141,IF(C141&gt;=X141,Y141,0))))</f>
        <v>0</v>
      </c>
      <c r="N141" s="8"/>
      <c r="O141" s="33" t="str">
        <f>+X141*100&amp;"-"&amp;Z141*100</f>
        <v>10-15</v>
      </c>
      <c r="P141" s="19" t="str">
        <f>+"&gt;"&amp;Z141*100&amp;"-"&amp;AB141*100</f>
        <v>&gt;15-20</v>
      </c>
      <c r="Q141" s="19" t="str">
        <f>+"&gt;"&amp;AB141*100&amp;"-"&amp;AD141*100</f>
        <v>&gt;20-25</v>
      </c>
      <c r="R141" s="19" t="str">
        <f>+"&gt;"&amp;AD141*100</f>
        <v>&gt;25</v>
      </c>
      <c r="S141" s="19"/>
      <c r="T141" s="19"/>
      <c r="U141" s="25" t="s">
        <v>15</v>
      </c>
      <c r="V141" s="41"/>
      <c r="W141" s="41"/>
      <c r="X141" s="50">
        <v>0.1</v>
      </c>
      <c r="Y141" s="15">
        <v>0.5</v>
      </c>
      <c r="Z141" s="50">
        <v>0.15</v>
      </c>
      <c r="AA141" s="15">
        <v>1</v>
      </c>
      <c r="AB141" s="50">
        <v>0.2</v>
      </c>
      <c r="AC141" s="15">
        <v>1.5</v>
      </c>
      <c r="AD141" s="50">
        <v>0.25</v>
      </c>
      <c r="AE141" s="15">
        <v>2</v>
      </c>
      <c r="AF141" s="16"/>
      <c r="AG141" s="15"/>
      <c r="AH141" s="16"/>
      <c r="AI141" s="15"/>
    </row>
    <row r="142" spans="1:36" s="14" customFormat="1">
      <c r="A142" s="11">
        <v>10.4</v>
      </c>
      <c r="B142" s="64">
        <v>0</v>
      </c>
      <c r="C142" s="500" t="s">
        <v>146</v>
      </c>
      <c r="D142" s="500"/>
      <c r="E142" s="500"/>
      <c r="F142" s="500"/>
      <c r="G142" s="500"/>
      <c r="H142" s="500"/>
      <c r="I142" s="500"/>
      <c r="J142" s="500"/>
      <c r="K142" s="500"/>
      <c r="L142" s="500"/>
      <c r="M142" s="34"/>
      <c r="N142" s="8"/>
      <c r="O142" s="33"/>
      <c r="P142" s="19"/>
      <c r="Q142" s="19"/>
      <c r="R142" s="19"/>
      <c r="S142" s="19"/>
      <c r="T142" s="19"/>
      <c r="U142" s="25"/>
      <c r="V142" s="41"/>
      <c r="W142" s="41"/>
      <c r="X142" s="50"/>
      <c r="Y142" s="15"/>
      <c r="Z142" s="50"/>
      <c r="AA142" s="15"/>
      <c r="AB142" s="50"/>
      <c r="AC142" s="15"/>
      <c r="AD142" s="50"/>
      <c r="AE142" s="15"/>
      <c r="AF142" s="16"/>
      <c r="AG142" s="15"/>
      <c r="AH142" s="16"/>
      <c r="AI142" s="15"/>
      <c r="AJ142" s="70"/>
    </row>
    <row r="143" spans="1:36" s="14" customFormat="1">
      <c r="B143" s="47" t="s">
        <v>1</v>
      </c>
      <c r="C143" s="85">
        <f>+IF(offene_Ackerfläche&gt;0,B142/offene_Ackerfläche,0)</f>
        <v>0</v>
      </c>
      <c r="D143" s="500" t="s">
        <v>142</v>
      </c>
      <c r="E143" s="500"/>
      <c r="F143" s="500"/>
      <c r="G143" s="500"/>
      <c r="H143" s="500"/>
      <c r="I143" s="500"/>
      <c r="J143" s="500"/>
      <c r="K143" s="500"/>
      <c r="L143" s="500"/>
      <c r="M143" s="53">
        <f>+IF(C143&gt;AD143,AE143,IF(C143&gt;AB143,AC143,IF(C143&gt;Z143,AA143,IF(C143&gt;=X143,Y143,0))))</f>
        <v>0</v>
      </c>
      <c r="N143" s="8"/>
      <c r="O143" s="33" t="str">
        <f>+X143*100&amp;"-"&amp;Z143*100</f>
        <v>10-15</v>
      </c>
      <c r="P143" s="19" t="str">
        <f>+"&gt;"&amp;Z143*100&amp;"-"&amp;AB143*100</f>
        <v>&gt;15-20</v>
      </c>
      <c r="Q143" s="19" t="str">
        <f>+"&gt;"&amp;AB143*100&amp;"-"&amp;AD143*100</f>
        <v>&gt;20-25</v>
      </c>
      <c r="R143" s="19" t="str">
        <f>+"&gt;"&amp;AD143*100</f>
        <v>&gt;25</v>
      </c>
      <c r="S143" s="19"/>
      <c r="T143" s="19"/>
      <c r="U143" s="25" t="s">
        <v>15</v>
      </c>
      <c r="V143" s="41"/>
      <c r="W143" s="41"/>
      <c r="X143" s="50">
        <v>0.1</v>
      </c>
      <c r="Y143" s="15">
        <v>0.5</v>
      </c>
      <c r="Z143" s="50">
        <v>0.15</v>
      </c>
      <c r="AA143" s="15">
        <v>1</v>
      </c>
      <c r="AB143" s="50">
        <v>0.2</v>
      </c>
      <c r="AC143" s="15">
        <v>1.5</v>
      </c>
      <c r="AD143" s="50">
        <v>0.25</v>
      </c>
      <c r="AE143" s="15">
        <v>2</v>
      </c>
      <c r="AF143" s="16"/>
      <c r="AG143" s="15"/>
      <c r="AH143" s="16"/>
      <c r="AI143" s="15"/>
    </row>
    <row r="144" spans="1:36" s="14" customFormat="1">
      <c r="A144" s="11">
        <v>10.5</v>
      </c>
      <c r="B144" s="64">
        <v>0</v>
      </c>
      <c r="C144" s="500" t="s">
        <v>145</v>
      </c>
      <c r="D144" s="500"/>
      <c r="E144" s="500"/>
      <c r="F144" s="500"/>
      <c r="G144" s="500"/>
      <c r="H144" s="500"/>
      <c r="I144" s="500"/>
      <c r="J144" s="500"/>
      <c r="K144" s="500"/>
      <c r="L144" s="500"/>
      <c r="M144" s="34"/>
      <c r="N144" s="8"/>
      <c r="O144" s="33"/>
      <c r="P144" s="19"/>
      <c r="Q144" s="19"/>
      <c r="R144" s="19"/>
      <c r="S144" s="19"/>
      <c r="T144" s="19"/>
      <c r="U144" s="25"/>
      <c r="V144" s="41"/>
      <c r="W144" s="41"/>
      <c r="X144" s="50"/>
      <c r="Y144" s="15"/>
      <c r="Z144" s="50"/>
      <c r="AA144" s="15"/>
      <c r="AB144" s="50"/>
      <c r="AC144" s="15"/>
      <c r="AD144" s="16"/>
      <c r="AE144" s="15"/>
      <c r="AF144" s="16"/>
      <c r="AG144" s="15"/>
      <c r="AH144" s="16"/>
      <c r="AI144" s="15"/>
    </row>
    <row r="145" spans="1:40" s="14" customFormat="1">
      <c r="B145" s="47" t="s">
        <v>1</v>
      </c>
      <c r="C145" s="85">
        <f>+IF(offene_Ackerfläche&gt;0,B144/offene_Ackerfläche,0)</f>
        <v>0</v>
      </c>
      <c r="D145" s="500" t="s">
        <v>142</v>
      </c>
      <c r="E145" s="500"/>
      <c r="F145" s="500"/>
      <c r="G145" s="500"/>
      <c r="H145" s="500"/>
      <c r="I145" s="500"/>
      <c r="J145" s="500"/>
      <c r="K145" s="500"/>
      <c r="L145" s="500"/>
      <c r="M145" s="53">
        <f>+IF(C145&gt;AD145,AE145,IF(C145&gt;AB145,AC145,IF(C145&gt;Z145,AA145,IF(C145&gt;=X145,Y145,0))))</f>
        <v>0</v>
      </c>
      <c r="N145" s="8"/>
      <c r="O145" s="33" t="str">
        <f>+X145*100&amp;"-"&amp;Z145*100</f>
        <v>10-15</v>
      </c>
      <c r="P145" s="19" t="str">
        <f>+"&gt;"&amp;Z145*100&amp;"-"&amp;AB145*100</f>
        <v>&gt;15-20</v>
      </c>
      <c r="Q145" s="19" t="str">
        <f>+"&gt;"&amp;AB145*100&amp;"-"&amp;AD145*100</f>
        <v>&gt;20-25</v>
      </c>
      <c r="R145" s="19" t="str">
        <f>+"&gt;"&amp;AD145*100</f>
        <v>&gt;25</v>
      </c>
      <c r="S145" s="19"/>
      <c r="T145" s="19"/>
      <c r="U145" s="25" t="s">
        <v>15</v>
      </c>
      <c r="V145" s="41"/>
      <c r="W145" s="41"/>
      <c r="X145" s="50">
        <v>0.1</v>
      </c>
      <c r="Y145" s="15">
        <v>0.5</v>
      </c>
      <c r="Z145" s="50">
        <v>0.15</v>
      </c>
      <c r="AA145" s="15">
        <v>1</v>
      </c>
      <c r="AB145" s="50">
        <v>0.2</v>
      </c>
      <c r="AC145" s="15">
        <v>1.5</v>
      </c>
      <c r="AD145" s="50">
        <v>0.25</v>
      </c>
      <c r="AE145" s="15">
        <v>2</v>
      </c>
      <c r="AF145" s="16"/>
      <c r="AG145" s="15"/>
      <c r="AH145" s="16"/>
      <c r="AI145" s="15"/>
    </row>
    <row r="146" spans="1:40" s="14" customFormat="1">
      <c r="A146" s="11">
        <v>10.6</v>
      </c>
      <c r="B146" s="64">
        <v>0</v>
      </c>
      <c r="C146" s="500" t="s">
        <v>144</v>
      </c>
      <c r="D146" s="500"/>
      <c r="E146" s="500"/>
      <c r="F146" s="500"/>
      <c r="G146" s="500"/>
      <c r="H146" s="500"/>
      <c r="I146" s="500"/>
      <c r="J146" s="500"/>
      <c r="K146" s="500"/>
      <c r="L146" s="500"/>
      <c r="M146" s="500"/>
      <c r="N146" s="8"/>
      <c r="O146" s="19"/>
      <c r="P146" s="33"/>
      <c r="Q146" s="19"/>
      <c r="R146" s="19"/>
      <c r="S146" s="19"/>
      <c r="T146" s="19"/>
      <c r="U146" s="25"/>
      <c r="V146" s="62"/>
      <c r="W146" s="61"/>
      <c r="X146" s="56"/>
      <c r="Y146" s="15"/>
      <c r="Z146" s="56"/>
      <c r="AA146" s="15"/>
      <c r="AB146" s="56"/>
      <c r="AC146" s="15"/>
      <c r="AD146" s="56"/>
      <c r="AE146" s="15"/>
      <c r="AF146" s="16"/>
      <c r="AG146" s="15"/>
      <c r="AH146" s="16"/>
      <c r="AI146" s="15"/>
    </row>
    <row r="147" spans="1:40" s="14" customFormat="1">
      <c r="B147" s="47" t="s">
        <v>1</v>
      </c>
      <c r="C147" s="85">
        <f>+IF(offene_Ackerfläche&gt;0,B146/offene_Ackerfläche,0)</f>
        <v>0</v>
      </c>
      <c r="D147" s="500" t="s">
        <v>142</v>
      </c>
      <c r="E147" s="500"/>
      <c r="F147" s="500"/>
      <c r="G147" s="500"/>
      <c r="H147" s="500"/>
      <c r="I147" s="500"/>
      <c r="J147" s="500"/>
      <c r="K147" s="500"/>
      <c r="L147" s="500"/>
      <c r="M147" s="53">
        <f>+IF(C147&gt;AD147,AE147,IF(C147&gt;AB147,AC147,IF(C147&gt;Z147,AA147,IF(C147&gt;=X147,Y147,0))))</f>
        <v>0</v>
      </c>
      <c r="N147" s="8"/>
      <c r="O147" s="33" t="str">
        <f>+X147*100&amp;"-"&amp;Z147*100</f>
        <v>1.5-2</v>
      </c>
      <c r="P147" s="19" t="str">
        <f>+"&gt;"&amp;Z147*100&amp;"-"&amp;AB147*100</f>
        <v>&gt;2-2.5</v>
      </c>
      <c r="Q147" s="19" t="str">
        <f>+"&gt;"&amp;AB147*100&amp;"-"&amp;AD147*100</f>
        <v>&gt;2.5-3</v>
      </c>
      <c r="R147" s="19" t="str">
        <f>+"&gt;"&amp;AD147*100</f>
        <v>&gt;3</v>
      </c>
      <c r="S147" s="19"/>
      <c r="T147" s="19"/>
      <c r="U147" s="25" t="s">
        <v>15</v>
      </c>
      <c r="V147" s="41"/>
      <c r="W147" s="178"/>
      <c r="X147" s="56">
        <v>1.4999999999999999E-2</v>
      </c>
      <c r="Y147" s="15">
        <v>0.5</v>
      </c>
      <c r="Z147" s="56">
        <v>0.02</v>
      </c>
      <c r="AA147" s="55">
        <v>1</v>
      </c>
      <c r="AB147" s="56">
        <v>2.5000000000000001E-2</v>
      </c>
      <c r="AC147" s="55">
        <v>1.5</v>
      </c>
      <c r="AD147" s="56">
        <v>0.03</v>
      </c>
      <c r="AE147" s="55">
        <v>2</v>
      </c>
      <c r="AF147" s="59"/>
      <c r="AG147" s="55"/>
      <c r="AH147" s="59"/>
      <c r="AI147" s="55"/>
    </row>
    <row r="148" spans="1:40" s="14" customFormat="1">
      <c r="A148" s="11">
        <v>10.7</v>
      </c>
      <c r="B148" s="64">
        <v>0</v>
      </c>
      <c r="C148" s="511" t="s">
        <v>308</v>
      </c>
      <c r="D148" s="511"/>
      <c r="E148" s="511"/>
      <c r="F148" s="511"/>
      <c r="G148" s="511"/>
      <c r="H148" s="511"/>
      <c r="I148" s="511"/>
      <c r="J148" s="511"/>
      <c r="K148" s="511"/>
      <c r="L148" s="511"/>
      <c r="M148" s="26"/>
      <c r="N148" s="8"/>
      <c r="O148" s="33"/>
      <c r="P148" s="19"/>
      <c r="Q148" s="19"/>
      <c r="R148" s="19"/>
      <c r="S148" s="19"/>
      <c r="T148" s="19"/>
      <c r="U148" s="25"/>
      <c r="V148" s="41"/>
      <c r="W148" s="178"/>
      <c r="X148" s="56"/>
      <c r="Y148" s="15"/>
      <c r="Z148" s="56"/>
      <c r="AA148" s="55"/>
      <c r="AB148" s="56"/>
      <c r="AC148" s="55"/>
      <c r="AD148" s="59"/>
      <c r="AE148" s="55"/>
      <c r="AF148" s="59"/>
      <c r="AG148" s="55"/>
      <c r="AH148" s="59"/>
      <c r="AI148" s="55"/>
    </row>
    <row r="149" spans="1:40" s="14" customFormat="1" ht="15.95" customHeight="1">
      <c r="A149" s="11"/>
      <c r="B149" s="231" t="s">
        <v>1</v>
      </c>
      <c r="C149" s="85">
        <f>+IF(offene_Ackerfläche&gt;0,B148/offene_Ackerfläche,0)</f>
        <v>0</v>
      </c>
      <c r="D149" s="500" t="s">
        <v>142</v>
      </c>
      <c r="E149" s="500"/>
      <c r="F149" s="500"/>
      <c r="G149" s="500"/>
      <c r="H149" s="500"/>
      <c r="I149" s="500"/>
      <c r="J149" s="500"/>
      <c r="K149" s="500"/>
      <c r="L149" s="500"/>
      <c r="M149" s="53">
        <f>+IF(C149&gt;AD149,AE149,IF(C149&gt;AB149,AC149,IF(C149&gt;Z149,AA149,IF(C149&gt;=X149,Y149,0))))</f>
        <v>0</v>
      </c>
      <c r="N149" s="8"/>
      <c r="O149" s="33" t="str">
        <f>+X149*100&amp;"-"&amp;Z149*100</f>
        <v>5-15</v>
      </c>
      <c r="P149" s="19" t="str">
        <f>+"&gt;"&amp;Z149*100&amp;"-"&amp;AB149*100</f>
        <v>&gt;15-25</v>
      </c>
      <c r="Q149" s="19" t="str">
        <f>+"&gt;"&amp;AB149*100&amp;"-"&amp;AD149*100</f>
        <v>&gt;25-35</v>
      </c>
      <c r="R149" s="19" t="str">
        <f>+"&gt;"&amp;AD149*100</f>
        <v>&gt;35</v>
      </c>
      <c r="S149" s="19"/>
      <c r="T149" s="19"/>
      <c r="U149" s="25" t="s">
        <v>15</v>
      </c>
      <c r="V149" s="41"/>
      <c r="W149" s="178"/>
      <c r="X149" s="56">
        <v>0.05</v>
      </c>
      <c r="Y149" s="15">
        <v>0.5</v>
      </c>
      <c r="Z149" s="56">
        <v>0.15</v>
      </c>
      <c r="AA149" s="55">
        <v>1</v>
      </c>
      <c r="AB149" s="56">
        <v>0.25</v>
      </c>
      <c r="AC149" s="55">
        <v>1.5</v>
      </c>
      <c r="AD149" s="56">
        <v>0.35</v>
      </c>
      <c r="AE149" s="55">
        <v>2</v>
      </c>
      <c r="AF149" s="56"/>
      <c r="AG149" s="55"/>
      <c r="AH149" s="59"/>
      <c r="AI149" s="55"/>
    </row>
    <row r="150" spans="1:40" s="200" customFormat="1" ht="15.95" customHeight="1">
      <c r="A150" s="215" t="s">
        <v>58</v>
      </c>
      <c r="B150" s="211">
        <v>0</v>
      </c>
      <c r="C150" s="495" t="s">
        <v>310</v>
      </c>
      <c r="D150" s="495"/>
      <c r="E150" s="495"/>
      <c r="F150" s="495"/>
      <c r="G150" s="495"/>
      <c r="H150" s="495"/>
      <c r="I150" s="495"/>
      <c r="J150" s="495"/>
      <c r="K150" s="495"/>
      <c r="L150" s="495"/>
      <c r="O150" s="238"/>
      <c r="P150" s="224"/>
      <c r="Q150" s="224"/>
      <c r="R150" s="224"/>
      <c r="S150" s="224"/>
      <c r="T150" s="224"/>
      <c r="U150" s="228"/>
      <c r="V150" s="249"/>
      <c r="W150" s="251"/>
      <c r="X150" s="245"/>
      <c r="Y150" s="214"/>
      <c r="Z150" s="245"/>
      <c r="AA150" s="250"/>
      <c r="AB150" s="245"/>
      <c r="AC150" s="250"/>
      <c r="AD150" s="252"/>
      <c r="AE150" s="250"/>
      <c r="AF150" s="252"/>
      <c r="AG150" s="250"/>
      <c r="AH150" s="252"/>
      <c r="AI150" s="250"/>
      <c r="AJ150" s="202"/>
      <c r="AK150" s="184"/>
      <c r="AL150" s="184"/>
      <c r="AM150" s="184"/>
      <c r="AN150" s="184"/>
    </row>
    <row r="151" spans="1:40" s="200" customFormat="1" ht="15.95" customHeight="1">
      <c r="A151" s="199"/>
      <c r="B151" s="231" t="s">
        <v>1</v>
      </c>
      <c r="C151" s="240">
        <f>+IF(offene_Ackerfläche&gt;0,B150/offene_Ackerfläche,0)</f>
        <v>0</v>
      </c>
      <c r="D151" s="500" t="s">
        <v>142</v>
      </c>
      <c r="E151" s="500"/>
      <c r="F151" s="500"/>
      <c r="G151" s="500"/>
      <c r="H151" s="500"/>
      <c r="I151" s="500"/>
      <c r="J151" s="500"/>
      <c r="K151" s="500"/>
      <c r="L151" s="500"/>
      <c r="M151" s="248">
        <f>+IF(C151&gt;AD151,AE151,IF(C151&gt;AB151,AC151,IF(C151&gt;Z151,AA151,IF(C151&gt;=X151,Y151,0))))</f>
        <v>0</v>
      </c>
      <c r="O151" s="238" t="str">
        <f>+X151*100&amp;"-"&amp;Z151*100</f>
        <v>3.5-5</v>
      </c>
      <c r="P151" s="224" t="str">
        <f>+"&gt;"&amp;Z151*100&amp;"-"&amp;AB151*100</f>
        <v>&gt;5-10</v>
      </c>
      <c r="Q151" s="224" t="str">
        <f>+"&gt;"&amp;AB151*100&amp;"-"&amp;AD151*100</f>
        <v>&gt;10-20</v>
      </c>
      <c r="R151" s="224" t="str">
        <f>+"&gt;"&amp;AD151*100</f>
        <v>&gt;20</v>
      </c>
      <c r="S151" s="224"/>
      <c r="T151" s="224"/>
      <c r="U151" s="228" t="s">
        <v>15</v>
      </c>
      <c r="V151" s="249"/>
      <c r="W151" s="251"/>
      <c r="X151" s="245">
        <v>3.5000000000000003E-2</v>
      </c>
      <c r="Y151" s="214">
        <v>0.5</v>
      </c>
      <c r="Z151" s="245">
        <v>0.05</v>
      </c>
      <c r="AA151" s="250">
        <v>1</v>
      </c>
      <c r="AB151" s="245">
        <v>0.1</v>
      </c>
      <c r="AC151" s="250">
        <v>1.5</v>
      </c>
      <c r="AD151" s="245">
        <v>0.2</v>
      </c>
      <c r="AE151" s="250">
        <v>2</v>
      </c>
      <c r="AF151" s="245"/>
      <c r="AG151" s="250"/>
      <c r="AH151" s="252"/>
      <c r="AI151" s="250"/>
      <c r="AJ151" s="202"/>
      <c r="AK151" s="184"/>
      <c r="AL151" s="184"/>
      <c r="AM151" s="184"/>
      <c r="AN151" s="184"/>
    </row>
    <row r="152" spans="1:40" s="14" customFormat="1" ht="15.95" customHeight="1">
      <c r="A152" s="68">
        <v>10.8</v>
      </c>
      <c r="B152" s="64">
        <v>0</v>
      </c>
      <c r="C152" s="500" t="s">
        <v>143</v>
      </c>
      <c r="D152" s="500"/>
      <c r="E152" s="500"/>
      <c r="F152" s="500"/>
      <c r="G152" s="500"/>
      <c r="H152" s="500"/>
      <c r="I152" s="500"/>
      <c r="J152" s="500"/>
      <c r="K152" s="500"/>
      <c r="L152" s="500"/>
      <c r="M152" s="34"/>
      <c r="N152" s="8"/>
      <c r="O152" s="33"/>
      <c r="P152" s="19"/>
      <c r="Q152" s="19"/>
      <c r="R152" s="19"/>
      <c r="S152" s="19"/>
      <c r="T152" s="19"/>
      <c r="U152" s="25"/>
      <c r="V152" s="41"/>
      <c r="W152" s="178"/>
      <c r="X152" s="56"/>
      <c r="Y152" s="15"/>
      <c r="Z152" s="56"/>
      <c r="AA152" s="55"/>
      <c r="AB152" s="56"/>
      <c r="AC152" s="55"/>
      <c r="AD152" s="59"/>
      <c r="AE152" s="55"/>
      <c r="AF152" s="59"/>
      <c r="AG152" s="55"/>
      <c r="AH152" s="59"/>
      <c r="AI152" s="55"/>
    </row>
    <row r="153" spans="1:40" s="14" customFormat="1" ht="15.95" customHeight="1">
      <c r="A153" s="11"/>
      <c r="B153" s="47" t="s">
        <v>1</v>
      </c>
      <c r="C153" s="85">
        <f>+IF(offene_Ackerfläche&gt;0,B152/offene_Ackerfläche,0)</f>
        <v>0</v>
      </c>
      <c r="D153" s="500" t="s">
        <v>142</v>
      </c>
      <c r="E153" s="500"/>
      <c r="F153" s="500"/>
      <c r="G153" s="500"/>
      <c r="H153" s="500"/>
      <c r="I153" s="500"/>
      <c r="J153" s="500"/>
      <c r="K153" s="500"/>
      <c r="L153" s="500"/>
      <c r="M153" s="53">
        <f>+IF(C153&gt;AD153,AE153,IF(C153&gt;AB153,AC153,IF(C153&gt;Z153,AA153,IF(C153&gt;=X153,Y153,0))))</f>
        <v>0</v>
      </c>
      <c r="O153" s="33" t="str">
        <f>+X153*100&amp;"-"&amp;Z153*100</f>
        <v>5-10</v>
      </c>
      <c r="P153" s="19" t="str">
        <f>+"&gt;"&amp;Z153*100&amp;"-"&amp;AB153*100</f>
        <v>&gt;10-30</v>
      </c>
      <c r="Q153" s="19" t="str">
        <f>+"&gt;"&amp;AB153*100&amp;"-"&amp;AD153*100</f>
        <v>&gt;30-60</v>
      </c>
      <c r="R153" s="19" t="str">
        <f>+"&gt;"&amp;AD153*100</f>
        <v>&gt;60</v>
      </c>
      <c r="S153" s="19"/>
      <c r="T153" s="19"/>
      <c r="U153" s="25" t="s">
        <v>15</v>
      </c>
      <c r="V153" s="41"/>
      <c r="W153" s="17"/>
      <c r="X153" s="56">
        <v>0.05</v>
      </c>
      <c r="Y153" s="15">
        <v>0.5</v>
      </c>
      <c r="Z153" s="56">
        <v>0.1</v>
      </c>
      <c r="AA153" s="55">
        <v>1</v>
      </c>
      <c r="AB153" s="56">
        <v>0.3</v>
      </c>
      <c r="AC153" s="55">
        <v>1.5</v>
      </c>
      <c r="AD153" s="56">
        <v>0.6</v>
      </c>
      <c r="AE153" s="55">
        <v>2</v>
      </c>
      <c r="AF153" s="16"/>
      <c r="AG153" s="15"/>
      <c r="AH153" s="16"/>
      <c r="AI153" s="15"/>
    </row>
    <row r="154" spans="1:40" s="256" customFormat="1" ht="15.75" hidden="1" customHeight="1">
      <c r="A154" s="263">
        <v>10.9</v>
      </c>
      <c r="B154" s="259">
        <v>0</v>
      </c>
      <c r="C154" s="494" t="s">
        <v>309</v>
      </c>
      <c r="D154" s="494"/>
      <c r="E154" s="494"/>
      <c r="F154" s="494"/>
      <c r="G154" s="494"/>
      <c r="H154" s="494"/>
      <c r="I154" s="494"/>
      <c r="J154" s="494"/>
      <c r="K154" s="494"/>
      <c r="L154" s="494"/>
      <c r="M154" s="268"/>
      <c r="N154" s="257"/>
      <c r="O154" s="267"/>
      <c r="P154" s="264"/>
      <c r="Q154" s="264"/>
      <c r="R154" s="264"/>
      <c r="S154" s="264"/>
      <c r="T154" s="264"/>
      <c r="U154" s="265"/>
      <c r="V154" s="272"/>
      <c r="W154" s="274"/>
      <c r="X154" s="270"/>
      <c r="Y154" s="261"/>
      <c r="Z154" s="270"/>
      <c r="AA154" s="273"/>
      <c r="AB154" s="270"/>
      <c r="AC154" s="273"/>
      <c r="AD154" s="275"/>
      <c r="AE154" s="273"/>
      <c r="AF154" s="275"/>
      <c r="AG154" s="273"/>
      <c r="AH154" s="275"/>
      <c r="AI154" s="273"/>
    </row>
    <row r="155" spans="1:40" s="256" customFormat="1" ht="15.75" hidden="1" customHeight="1">
      <c r="A155" s="255"/>
      <c r="B155" s="218" t="s">
        <v>1</v>
      </c>
      <c r="C155" s="269">
        <f>+IF(B154&gt;0,B154/offene_Ackerfläche,0)</f>
        <v>0</v>
      </c>
      <c r="D155" s="500" t="s">
        <v>142</v>
      </c>
      <c r="E155" s="500"/>
      <c r="F155" s="500"/>
      <c r="G155" s="500"/>
      <c r="H155" s="500"/>
      <c r="I155" s="500"/>
      <c r="J155" s="500"/>
      <c r="K155" s="500"/>
      <c r="L155" s="500"/>
      <c r="M155" s="276">
        <f>+IF(C155&gt;AD155,AE155,IF(C155&gt;AB155,AC155,IF(C155&gt;Z155,AA155,IF(C155&gt;=X155,Y155,0))))</f>
        <v>0</v>
      </c>
      <c r="O155" s="267" t="str">
        <f>+X155*100&amp;"-"&amp;Z155*100</f>
        <v>5-10</v>
      </c>
      <c r="P155" s="264" t="str">
        <f>+"&gt;"&amp;Z155*100&amp;"-"&amp;AB155*100</f>
        <v>&gt;10-30</v>
      </c>
      <c r="Q155" s="264" t="str">
        <f>+"&gt;"&amp;AB155*100&amp;"-"&amp;AD155*100</f>
        <v>&gt;30-60</v>
      </c>
      <c r="R155" s="264" t="str">
        <f>+"&gt;"&amp;AD155*100</f>
        <v>&gt;60</v>
      </c>
      <c r="S155" s="264"/>
      <c r="T155" s="264"/>
      <c r="U155" s="265" t="s">
        <v>15</v>
      </c>
      <c r="V155" s="272"/>
      <c r="W155" s="271"/>
      <c r="X155" s="270">
        <v>0.05</v>
      </c>
      <c r="Y155" s="261">
        <v>0.5</v>
      </c>
      <c r="Z155" s="270">
        <v>0.1</v>
      </c>
      <c r="AA155" s="273">
        <v>1</v>
      </c>
      <c r="AB155" s="270">
        <v>0.3</v>
      </c>
      <c r="AC155" s="273">
        <v>1.5</v>
      </c>
      <c r="AD155" s="270">
        <v>0.6</v>
      </c>
      <c r="AE155" s="273">
        <v>2</v>
      </c>
      <c r="AF155" s="260"/>
      <c r="AG155" s="261"/>
      <c r="AH155" s="260"/>
      <c r="AI155" s="261"/>
    </row>
    <row r="156" spans="1:40" ht="6.6" customHeight="1">
      <c r="D156" s="13"/>
      <c r="E156" s="13"/>
      <c r="F156" s="13"/>
      <c r="G156" s="13"/>
      <c r="H156" s="13"/>
      <c r="M156" s="36"/>
      <c r="N156" s="9"/>
      <c r="O156" s="19"/>
      <c r="P156" s="19"/>
      <c r="Q156" s="19"/>
      <c r="R156" s="19"/>
      <c r="S156" s="19"/>
      <c r="T156" s="19"/>
      <c r="U156" s="18"/>
    </row>
    <row r="157" spans="1:40" s="14" customFormat="1">
      <c r="A157" s="11"/>
      <c r="B157" s="32" t="s">
        <v>141</v>
      </c>
      <c r="C157" s="47"/>
      <c r="D157" s="52"/>
      <c r="M157" s="53">
        <f>SUM(M131:M156)</f>
        <v>0</v>
      </c>
      <c r="N157" s="8"/>
      <c r="O157" s="33"/>
      <c r="P157" s="19"/>
      <c r="Q157" s="19"/>
      <c r="R157" s="19"/>
      <c r="S157" s="19"/>
      <c r="T157" s="19"/>
      <c r="U157" s="57"/>
      <c r="V157" s="41"/>
      <c r="W157" s="41"/>
      <c r="X157" s="56"/>
      <c r="Y157" s="15"/>
      <c r="Z157" s="56"/>
      <c r="AA157" s="55"/>
      <c r="AB157" s="56"/>
      <c r="AC157" s="55"/>
      <c r="AD157" s="56"/>
      <c r="AE157" s="55"/>
      <c r="AF157" s="16"/>
      <c r="AG157" s="15"/>
      <c r="AH157" s="16"/>
      <c r="AI157" s="15"/>
    </row>
    <row r="158" spans="1:40" s="14" customFormat="1">
      <c r="A158" s="11"/>
      <c r="B158" s="14" t="s">
        <v>140</v>
      </c>
      <c r="C158" s="47"/>
      <c r="G158" s="52">
        <f>+offene_Ackerfläche/LN</f>
        <v>0</v>
      </c>
      <c r="M158" s="53"/>
      <c r="N158" s="8"/>
      <c r="O158" s="19"/>
      <c r="P158" s="19"/>
      <c r="Q158" s="19"/>
      <c r="R158" s="19"/>
      <c r="S158" s="19"/>
      <c r="T158" s="19"/>
      <c r="U158" s="25"/>
      <c r="V158" s="7"/>
      <c r="W158" s="7"/>
      <c r="X158" s="6"/>
      <c r="Y158" s="5"/>
      <c r="Z158" s="6"/>
      <c r="AA158" s="5"/>
      <c r="AB158" s="6"/>
      <c r="AC158" s="5"/>
      <c r="AD158" s="6"/>
      <c r="AE158" s="5"/>
      <c r="AF158" s="6"/>
      <c r="AG158" s="5"/>
      <c r="AH158" s="6"/>
      <c r="AI158" s="5"/>
    </row>
    <row r="159" spans="1:40" ht="6.6" customHeight="1">
      <c r="D159" s="13"/>
      <c r="E159" s="13"/>
      <c r="F159" s="13"/>
      <c r="G159" s="13"/>
      <c r="H159" s="13"/>
      <c r="N159" s="9"/>
      <c r="O159" s="19"/>
      <c r="P159" s="19"/>
      <c r="Q159" s="19"/>
      <c r="R159" s="19"/>
      <c r="S159" s="19"/>
      <c r="T159" s="19"/>
      <c r="U159" s="18"/>
    </row>
    <row r="160" spans="1:40" s="14" customFormat="1">
      <c r="A160" s="450" t="s">
        <v>139</v>
      </c>
      <c r="B160" s="451"/>
      <c r="C160" s="450"/>
      <c r="D160" s="451"/>
      <c r="E160" s="451"/>
      <c r="F160" s="451"/>
      <c r="G160" s="451"/>
      <c r="H160" s="451"/>
      <c r="I160" s="451"/>
      <c r="J160" s="451"/>
      <c r="K160" s="456"/>
      <c r="L160" s="456"/>
      <c r="M160" s="457"/>
      <c r="N160" s="458">
        <f>+M157*G158</f>
        <v>0</v>
      </c>
      <c r="O160" s="459"/>
      <c r="P160" s="459"/>
      <c r="Q160" s="459"/>
      <c r="R160" s="459"/>
      <c r="S160" s="459"/>
      <c r="T160" s="459"/>
      <c r="U160" s="457"/>
      <c r="V160" s="9"/>
      <c r="W160" s="9"/>
      <c r="X160" s="4"/>
      <c r="Y160" s="4"/>
      <c r="Z160" s="4"/>
      <c r="AA160" s="4"/>
      <c r="AB160" s="4"/>
      <c r="AC160" s="4"/>
      <c r="AD160" s="4"/>
      <c r="AE160" s="4"/>
      <c r="AF160" s="4"/>
      <c r="AG160" s="4"/>
      <c r="AH160" s="4"/>
      <c r="AI160" s="4"/>
    </row>
    <row r="161" spans="1:79" ht="6.6" customHeight="1">
      <c r="D161" s="13"/>
      <c r="E161" s="13"/>
      <c r="F161" s="13"/>
      <c r="G161" s="13"/>
      <c r="H161" s="13"/>
      <c r="N161" s="9"/>
      <c r="V161" s="9"/>
      <c r="W161" s="9"/>
      <c r="X161" s="4"/>
      <c r="Y161" s="4"/>
      <c r="Z161" s="4"/>
      <c r="AA161" s="4"/>
      <c r="AB161" s="4"/>
      <c r="AC161" s="4"/>
      <c r="AD161" s="4"/>
      <c r="AE161" s="4"/>
      <c r="AF161" s="4"/>
      <c r="AG161" s="4"/>
      <c r="AH161" s="4"/>
      <c r="AI161" s="4"/>
      <c r="AJ161" s="4"/>
      <c r="AK161" s="4"/>
      <c r="AL161" s="4"/>
      <c r="AM161" s="4"/>
      <c r="AN161" s="4"/>
      <c r="AO161" s="4"/>
    </row>
    <row r="162" spans="1:79" outlineLevel="1">
      <c r="A162" s="450" t="s">
        <v>138</v>
      </c>
      <c r="B162" s="451"/>
      <c r="C162" s="450"/>
      <c r="D162" s="451"/>
      <c r="E162" s="451"/>
      <c r="F162" s="451"/>
      <c r="G162" s="451"/>
      <c r="H162" s="451"/>
      <c r="I162" s="451"/>
      <c r="J162" s="451"/>
      <c r="K162" s="451"/>
      <c r="L162" s="451"/>
      <c r="M162" s="455" t="s">
        <v>121</v>
      </c>
      <c r="N162" s="455" t="s">
        <v>27</v>
      </c>
      <c r="O162" s="453" t="s">
        <v>120</v>
      </c>
      <c r="P162" s="453" t="s">
        <v>119</v>
      </c>
      <c r="Q162" s="453" t="s">
        <v>118</v>
      </c>
      <c r="R162" s="453" t="s">
        <v>117</v>
      </c>
      <c r="S162" s="453"/>
      <c r="T162" s="453"/>
      <c r="U162" s="453" t="s">
        <v>116</v>
      </c>
      <c r="V162" s="9"/>
      <c r="W162" s="9"/>
      <c r="X162" s="4"/>
      <c r="Y162" s="4"/>
      <c r="Z162" s="4"/>
      <c r="AA162" s="4"/>
      <c r="AB162" s="4"/>
      <c r="AC162" s="4"/>
      <c r="AD162" s="4"/>
      <c r="AE162" s="4"/>
      <c r="AF162" s="4"/>
      <c r="AG162" s="4"/>
      <c r="AH162" s="4"/>
      <c r="AI162" s="4"/>
      <c r="AJ162" s="8"/>
      <c r="AK162" s="8"/>
      <c r="AL162" s="8"/>
      <c r="AM162" s="8"/>
      <c r="AN162" s="8"/>
      <c r="AO162" s="8"/>
      <c r="AP162" s="8"/>
      <c r="AQ162" s="8"/>
      <c r="AR162" s="8"/>
      <c r="AS162" s="8"/>
      <c r="AT162" s="8"/>
      <c r="AU162" s="8"/>
      <c r="AV162" s="8"/>
      <c r="AW162" s="8"/>
      <c r="AX162" s="8"/>
      <c r="AY162" s="8"/>
      <c r="AZ162" s="8"/>
      <c r="BA162" s="8"/>
      <c r="BB162" s="8"/>
      <c r="BC162" s="8"/>
      <c r="BD162" s="8"/>
      <c r="BE162" s="8"/>
      <c r="BF162" s="8"/>
      <c r="BG162" s="8"/>
      <c r="BH162" s="8"/>
      <c r="BI162" s="8"/>
      <c r="BJ162" s="8"/>
      <c r="BK162" s="8"/>
      <c r="BL162" s="8"/>
      <c r="BM162" s="8"/>
      <c r="BN162" s="8"/>
      <c r="BO162" s="8"/>
      <c r="BP162" s="8"/>
      <c r="BQ162" s="8"/>
      <c r="BR162" s="8"/>
      <c r="BS162" s="8"/>
      <c r="BT162" s="8"/>
      <c r="BU162" s="8"/>
      <c r="BV162" s="8"/>
      <c r="BW162" s="8"/>
      <c r="BX162" s="8"/>
      <c r="BY162" s="8"/>
      <c r="BZ162" s="8"/>
      <c r="CA162" s="8"/>
    </row>
    <row r="163" spans="1:79" ht="6.6" customHeight="1" outlineLevel="1">
      <c r="D163" s="13"/>
      <c r="E163" s="13"/>
      <c r="F163" s="13"/>
      <c r="G163" s="13"/>
      <c r="H163" s="13"/>
      <c r="N163" s="9"/>
      <c r="V163" s="9"/>
      <c r="W163" s="9"/>
      <c r="X163" s="4"/>
      <c r="Y163" s="4"/>
      <c r="Z163" s="4"/>
      <c r="AA163" s="4"/>
      <c r="AB163" s="4"/>
      <c r="AC163" s="4"/>
      <c r="AD163" s="4"/>
      <c r="AE163" s="4"/>
      <c r="AF163" s="4"/>
      <c r="AG163" s="4"/>
      <c r="AH163" s="4"/>
      <c r="AI163" s="4"/>
    </row>
    <row r="164" spans="1:79" s="14" customFormat="1" outlineLevel="1">
      <c r="A164" s="11">
        <v>11</v>
      </c>
      <c r="B164" s="32" t="s">
        <v>137</v>
      </c>
      <c r="D164" s="32"/>
      <c r="E164" s="32"/>
      <c r="F164" s="32"/>
      <c r="G164" s="32"/>
      <c r="H164" s="32"/>
      <c r="M164" s="53"/>
      <c r="N164" s="8"/>
      <c r="O164" s="19"/>
      <c r="P164" s="19"/>
      <c r="Q164" s="19"/>
      <c r="R164" s="19"/>
      <c r="S164" s="19"/>
      <c r="T164" s="19"/>
      <c r="U164" s="25"/>
      <c r="V164" s="41"/>
      <c r="W164" s="41"/>
      <c r="X164" s="50"/>
      <c r="Y164" s="15"/>
      <c r="Z164" s="50"/>
      <c r="AA164" s="15"/>
      <c r="AB164" s="50"/>
      <c r="AC164" s="15"/>
      <c r="AD164" s="16"/>
      <c r="AE164" s="15"/>
      <c r="AF164" s="16"/>
      <c r="AG164" s="15"/>
      <c r="AH164" s="16"/>
      <c r="AI164" s="15"/>
    </row>
    <row r="165" spans="1:79" s="14" customFormat="1" outlineLevel="1">
      <c r="A165" s="11">
        <v>11.1</v>
      </c>
      <c r="B165" s="2">
        <v>0</v>
      </c>
      <c r="C165" s="14" t="s">
        <v>247</v>
      </c>
      <c r="M165" s="53"/>
      <c r="N165" s="8"/>
      <c r="O165" s="19"/>
      <c r="P165" s="19"/>
      <c r="Q165" s="19"/>
      <c r="R165" s="19"/>
      <c r="S165" s="19"/>
      <c r="T165" s="19"/>
      <c r="U165" s="25"/>
      <c r="V165" s="41"/>
      <c r="W165" s="41"/>
      <c r="X165" s="50"/>
      <c r="Y165" s="15"/>
      <c r="Z165" s="50"/>
      <c r="AA165" s="15"/>
      <c r="AB165" s="50"/>
      <c r="AC165" s="15"/>
      <c r="AD165" s="16"/>
      <c r="AE165" s="15"/>
      <c r="AF165" s="16"/>
      <c r="AG165" s="15"/>
      <c r="AH165" s="16"/>
      <c r="AI165" s="15"/>
    </row>
    <row r="166" spans="1:79" s="14" customFormat="1" outlineLevel="1">
      <c r="A166" s="11"/>
      <c r="B166" s="47" t="s">
        <v>1</v>
      </c>
      <c r="C166" s="85">
        <f>+IF(DGL_Streue&gt;0,B165/DGL_Streue,0)</f>
        <v>0</v>
      </c>
      <c r="D166" s="14" t="s">
        <v>132</v>
      </c>
      <c r="M166" s="53">
        <f>IF(C166&gt;AD166,AE166,IF(C166&gt;AB166,AC166,IF(C166&gt;Z166,AA166,IF(C166&gt;=X166,Y166,0))))</f>
        <v>0</v>
      </c>
      <c r="N166" s="8"/>
      <c r="O166" s="33" t="str">
        <f>+X166*100&amp;"-"&amp;Z166*100</f>
        <v>4-8</v>
      </c>
      <c r="P166" s="19" t="str">
        <f>+"&gt;"&amp;Z166*100&amp;"-"&amp;AB166*100</f>
        <v>&gt;8-12</v>
      </c>
      <c r="Q166" s="19" t="str">
        <f>+"&gt;"&amp;AB166*100&amp;"-"&amp;AD166*100</f>
        <v>&gt;12-16</v>
      </c>
      <c r="R166" s="19" t="str">
        <f>+"&gt;"&amp;AD166*100</f>
        <v>&gt;16</v>
      </c>
      <c r="S166" s="19"/>
      <c r="T166" s="19"/>
      <c r="U166" s="25" t="s">
        <v>15</v>
      </c>
      <c r="V166" s="41"/>
      <c r="W166" s="178"/>
      <c r="X166" s="50">
        <v>0.04</v>
      </c>
      <c r="Y166" s="15">
        <v>0.5</v>
      </c>
      <c r="Z166" s="50">
        <v>0.08</v>
      </c>
      <c r="AA166" s="55">
        <v>1</v>
      </c>
      <c r="AB166" s="50">
        <v>0.12</v>
      </c>
      <c r="AC166" s="55">
        <v>1.5</v>
      </c>
      <c r="AD166" s="56">
        <v>0.16</v>
      </c>
      <c r="AE166" s="15">
        <v>2</v>
      </c>
      <c r="AF166" s="56">
        <v>0.25</v>
      </c>
      <c r="AG166" s="15">
        <v>2.5</v>
      </c>
      <c r="AH166" s="56">
        <v>0.3</v>
      </c>
      <c r="AI166" s="15">
        <v>3</v>
      </c>
    </row>
    <row r="167" spans="1:79" s="14" customFormat="1" outlineLevel="1">
      <c r="A167" s="11">
        <v>11.2</v>
      </c>
      <c r="B167" s="2">
        <v>0</v>
      </c>
      <c r="C167" s="14" t="s">
        <v>135</v>
      </c>
      <c r="M167" s="34"/>
      <c r="N167" s="8"/>
      <c r="O167" s="33"/>
      <c r="P167" s="19"/>
      <c r="Q167" s="19"/>
      <c r="R167" s="19"/>
      <c r="S167" s="19"/>
      <c r="T167" s="19"/>
      <c r="U167" s="25"/>
      <c r="V167" s="41"/>
      <c r="W167" s="41"/>
      <c r="X167" s="50"/>
      <c r="Y167" s="15"/>
      <c r="Z167" s="50"/>
      <c r="AA167" s="15"/>
      <c r="AB167" s="50"/>
      <c r="AC167" s="15"/>
      <c r="AD167" s="56"/>
      <c r="AE167" s="15"/>
      <c r="AF167" s="16"/>
      <c r="AG167" s="15"/>
      <c r="AH167" s="16"/>
      <c r="AI167" s="15"/>
    </row>
    <row r="168" spans="1:79" s="14" customFormat="1" outlineLevel="1">
      <c r="A168" s="11"/>
      <c r="B168" s="47" t="s">
        <v>1</v>
      </c>
      <c r="C168" s="85">
        <f>+IF(DGL_Streue&gt;0,B167/DGL_Streue,0)</f>
        <v>0</v>
      </c>
      <c r="D168" s="14" t="s">
        <v>132</v>
      </c>
      <c r="M168" s="53">
        <f>IF(C168&gt;AD168,AE168,IF(C168&gt;AB168,AC168,IF(C168&gt;Z168,AA168,IF(C168&gt;=X168,Y168,0))))</f>
        <v>0</v>
      </c>
      <c r="N168" s="8"/>
      <c r="O168" s="33" t="str">
        <f>+X168*100&amp;"-"&amp;Z168*100</f>
        <v>9-12</v>
      </c>
      <c r="P168" s="19" t="str">
        <f>+"&gt;"&amp;Z168*100&amp;"-"&amp;AB168*100</f>
        <v>&gt;12-15</v>
      </c>
      <c r="Q168" s="19" t="str">
        <f>+"&gt;"&amp;AB168*100&amp;"-"&amp;AD168*100</f>
        <v>&gt;15-18</v>
      </c>
      <c r="R168" s="19" t="str">
        <f>+"&gt;"&amp;AD168*100</f>
        <v>&gt;18</v>
      </c>
      <c r="S168" s="19"/>
      <c r="T168" s="19"/>
      <c r="U168" s="25" t="s">
        <v>15</v>
      </c>
      <c r="V168" s="41"/>
      <c r="W168" s="178"/>
      <c r="X168" s="50">
        <v>0.09</v>
      </c>
      <c r="Y168" s="15">
        <v>0.5</v>
      </c>
      <c r="Z168" s="50">
        <v>0.12</v>
      </c>
      <c r="AA168" s="55">
        <v>1</v>
      </c>
      <c r="AB168" s="50">
        <v>0.15</v>
      </c>
      <c r="AC168" s="55">
        <v>1.5</v>
      </c>
      <c r="AD168" s="56">
        <v>0.18</v>
      </c>
      <c r="AE168" s="15">
        <v>2</v>
      </c>
      <c r="AF168" s="56">
        <v>0.3</v>
      </c>
      <c r="AG168" s="15">
        <v>2.5</v>
      </c>
      <c r="AH168" s="16"/>
      <c r="AI168" s="15"/>
    </row>
    <row r="169" spans="1:79" s="14" customFormat="1" outlineLevel="1">
      <c r="A169" s="11">
        <v>11.3</v>
      </c>
      <c r="B169" s="2">
        <v>0</v>
      </c>
      <c r="C169" s="500" t="s">
        <v>134</v>
      </c>
      <c r="D169" s="500"/>
      <c r="E169" s="500"/>
      <c r="F169" s="500"/>
      <c r="G169" s="500"/>
      <c r="H169" s="500"/>
      <c r="I169" s="500"/>
      <c r="J169" s="500"/>
      <c r="K169" s="500"/>
      <c r="L169" s="500"/>
      <c r="M169" s="500"/>
      <c r="N169" s="500"/>
      <c r="O169" s="33"/>
      <c r="P169" s="19"/>
      <c r="Q169" s="19"/>
      <c r="R169" s="19"/>
      <c r="S169" s="19"/>
      <c r="T169" s="19"/>
      <c r="U169" s="25"/>
      <c r="V169" s="41"/>
      <c r="W169" s="41"/>
      <c r="X169" s="50"/>
      <c r="Y169" s="15"/>
      <c r="Z169" s="50"/>
      <c r="AA169" s="15"/>
      <c r="AB169" s="50"/>
      <c r="AC169" s="15"/>
      <c r="AD169" s="56"/>
      <c r="AE169" s="15"/>
      <c r="AF169" s="16"/>
      <c r="AG169" s="15"/>
      <c r="AH169" s="16"/>
      <c r="AI169" s="15"/>
    </row>
    <row r="170" spans="1:79" s="14" customFormat="1">
      <c r="A170" s="11"/>
      <c r="B170" s="47" t="s">
        <v>1</v>
      </c>
      <c r="C170" s="85">
        <f>+IF(DGL_Streue&gt;0,B169/DGL_Streue,0)</f>
        <v>0</v>
      </c>
      <c r="D170" s="14" t="s">
        <v>132</v>
      </c>
      <c r="M170" s="53">
        <f>+IF(C170&gt;AD170,AE170,IF(C170&gt;AB170,AC170,IF(C170&gt;Z170,AA170,IF(C170&gt;=X170,Y170,0))))</f>
        <v>0</v>
      </c>
      <c r="O170" s="33" t="str">
        <f>+X170*100&amp;"-"&amp;Z170*100</f>
        <v>1-2</v>
      </c>
      <c r="P170" s="19" t="str">
        <f>+"&gt;"&amp;Z170*100&amp;"-"&amp;AB170*100</f>
        <v>&gt;2-3</v>
      </c>
      <c r="Q170" s="19" t="str">
        <f>+"&gt;"&amp;AB170*100&amp;"-"&amp;AD170*100</f>
        <v>&gt;3-4</v>
      </c>
      <c r="R170" s="19" t="str">
        <f>+"&gt;"&amp;AD170*100</f>
        <v>&gt;4</v>
      </c>
      <c r="S170" s="19"/>
      <c r="T170" s="19"/>
      <c r="U170" s="25" t="s">
        <v>15</v>
      </c>
      <c r="V170" s="41"/>
      <c r="W170" s="60"/>
      <c r="X170" s="50">
        <v>0.01</v>
      </c>
      <c r="Y170" s="15">
        <v>0.5</v>
      </c>
      <c r="Z170" s="50">
        <v>0.02</v>
      </c>
      <c r="AA170" s="55">
        <v>1</v>
      </c>
      <c r="AB170" s="50">
        <v>0.03</v>
      </c>
      <c r="AC170" s="55">
        <v>1.5</v>
      </c>
      <c r="AD170" s="56">
        <v>0.04</v>
      </c>
      <c r="AE170" s="15">
        <v>2</v>
      </c>
      <c r="AF170" s="56"/>
      <c r="AG170" s="15"/>
      <c r="AH170" s="56"/>
      <c r="AI170" s="15"/>
    </row>
    <row r="171" spans="1:79" s="14" customFormat="1" outlineLevel="1">
      <c r="A171" s="11">
        <v>11.4</v>
      </c>
      <c r="B171" s="2">
        <v>0</v>
      </c>
      <c r="C171" s="14" t="s">
        <v>133</v>
      </c>
      <c r="M171" s="53"/>
      <c r="N171" s="8"/>
      <c r="O171" s="19"/>
      <c r="P171" s="19"/>
      <c r="Q171" s="19"/>
      <c r="R171" s="19"/>
      <c r="S171" s="19"/>
      <c r="T171" s="19"/>
      <c r="U171" s="25"/>
      <c r="V171" s="41"/>
      <c r="W171" s="41"/>
      <c r="X171" s="50"/>
      <c r="Y171" s="15"/>
      <c r="Z171" s="50"/>
      <c r="AA171" s="15"/>
      <c r="AB171" s="50"/>
      <c r="AC171" s="15"/>
      <c r="AD171" s="56"/>
      <c r="AE171" s="15"/>
      <c r="AF171" s="16"/>
      <c r="AG171" s="15"/>
      <c r="AH171" s="16"/>
      <c r="AI171" s="15"/>
    </row>
    <row r="172" spans="1:79" s="14" customFormat="1" outlineLevel="1">
      <c r="A172" s="11"/>
      <c r="B172" s="47" t="s">
        <v>1</v>
      </c>
      <c r="C172" s="85">
        <f>+IF(DGL_Streue&gt;0,B171/DGL_Streue,0)</f>
        <v>0</v>
      </c>
      <c r="D172" s="14" t="s">
        <v>132</v>
      </c>
      <c r="M172" s="53">
        <f>+IF(C172&gt;AD172,AE172,IF(C172&gt;AB172,AC172,IF(C172&gt;Z172,AA172,IF(C172&gt;=X172,Y172,0))))</f>
        <v>0</v>
      </c>
      <c r="N172" s="8"/>
      <c r="O172" s="33" t="str">
        <f>+X172*100&amp;"-"&amp;Z172*100</f>
        <v>1-2</v>
      </c>
      <c r="P172" s="19" t="str">
        <f>+"&gt;"&amp;Z172*100&amp;"-"&amp;AB172*100</f>
        <v>&gt;2-3</v>
      </c>
      <c r="Q172" s="19" t="str">
        <f>+"&gt;"&amp;AB172*100&amp;"-"&amp;AD172*100</f>
        <v>&gt;3-4</v>
      </c>
      <c r="R172" s="19" t="str">
        <f>+"&gt;"&amp;AD172*100</f>
        <v>&gt;4</v>
      </c>
      <c r="S172" s="19"/>
      <c r="T172" s="19"/>
      <c r="U172" s="25" t="s">
        <v>15</v>
      </c>
      <c r="V172" s="41"/>
      <c r="W172" s="178"/>
      <c r="X172" s="50">
        <v>0.01</v>
      </c>
      <c r="Y172" s="15">
        <v>0.5</v>
      </c>
      <c r="Z172" s="50">
        <v>0.02</v>
      </c>
      <c r="AA172" s="55">
        <v>1</v>
      </c>
      <c r="AB172" s="50">
        <v>0.03</v>
      </c>
      <c r="AC172" s="55">
        <v>1.5</v>
      </c>
      <c r="AD172" s="56">
        <v>0.04</v>
      </c>
      <c r="AE172" s="15">
        <v>2</v>
      </c>
      <c r="AF172" s="16"/>
      <c r="AG172" s="15"/>
      <c r="AH172" s="16"/>
      <c r="AI172" s="15"/>
    </row>
    <row r="173" spans="1:79" ht="6.6" customHeight="1" outlineLevel="1">
      <c r="D173" s="13"/>
      <c r="E173" s="13"/>
      <c r="F173" s="13"/>
      <c r="G173" s="13"/>
      <c r="H173" s="13"/>
      <c r="N173" s="9"/>
      <c r="O173" s="19"/>
      <c r="P173" s="19"/>
      <c r="Q173" s="19"/>
      <c r="R173" s="19"/>
      <c r="S173" s="19"/>
      <c r="T173" s="19"/>
      <c r="U173" s="18"/>
    </row>
    <row r="174" spans="1:79" s="14" customFormat="1" outlineLevel="1">
      <c r="A174" s="11">
        <v>12</v>
      </c>
      <c r="B174" s="32" t="s">
        <v>131</v>
      </c>
      <c r="E174" s="32"/>
      <c r="F174" s="32"/>
      <c r="G174" s="32"/>
      <c r="H174" s="32"/>
      <c r="M174" s="53"/>
      <c r="N174" s="8"/>
      <c r="O174" s="19"/>
      <c r="P174" s="19"/>
      <c r="Q174" s="19"/>
      <c r="R174" s="19"/>
      <c r="S174" s="19"/>
      <c r="T174" s="19"/>
      <c r="U174" s="25"/>
      <c r="V174" s="41"/>
      <c r="W174" s="41"/>
      <c r="X174" s="50"/>
      <c r="Y174" s="15"/>
      <c r="Z174" s="50"/>
      <c r="AA174" s="15"/>
      <c r="AB174" s="50"/>
      <c r="AC174" s="15"/>
      <c r="AD174" s="56"/>
      <c r="AE174" s="15"/>
      <c r="AF174" s="16"/>
      <c r="AG174" s="15"/>
      <c r="AH174" s="16"/>
      <c r="AI174" s="15"/>
    </row>
    <row r="175" spans="1:79" s="14" customFormat="1" outlineLevel="1">
      <c r="A175" s="11">
        <v>12.1</v>
      </c>
      <c r="B175" s="3">
        <f>+DGL+B16-(G58+G59+G60+G68+G70)</f>
        <v>0</v>
      </c>
      <c r="C175" s="14" t="s">
        <v>246</v>
      </c>
      <c r="E175" s="32"/>
      <c r="F175" s="32"/>
      <c r="G175" s="32"/>
      <c r="H175" s="32"/>
      <c r="M175" s="53"/>
      <c r="N175" s="8"/>
      <c r="O175" s="19"/>
      <c r="P175" s="19"/>
      <c r="Q175" s="19"/>
      <c r="R175" s="19"/>
      <c r="S175" s="19"/>
      <c r="T175" s="19"/>
      <c r="U175" s="25"/>
      <c r="V175" s="41"/>
      <c r="W175" s="41"/>
      <c r="X175" s="50"/>
      <c r="Y175" s="15"/>
      <c r="Z175" s="50"/>
      <c r="AA175" s="15"/>
      <c r="AB175" s="50"/>
      <c r="AC175" s="15"/>
      <c r="AD175" s="56"/>
      <c r="AE175" s="15"/>
      <c r="AF175" s="16"/>
      <c r="AG175" s="15"/>
      <c r="AH175" s="16"/>
      <c r="AI175" s="15"/>
    </row>
    <row r="176" spans="1:79" s="14" customFormat="1" outlineLevel="1">
      <c r="A176" s="65" t="s">
        <v>16</v>
      </c>
      <c r="B176" s="2">
        <v>0</v>
      </c>
      <c r="C176" s="14" t="s">
        <v>129</v>
      </c>
      <c r="E176" s="32"/>
      <c r="F176" s="32"/>
      <c r="G176" s="32"/>
      <c r="H176" s="32"/>
      <c r="M176" s="53"/>
      <c r="N176" s="8"/>
      <c r="O176" s="19"/>
      <c r="P176" s="19"/>
      <c r="Q176" s="19"/>
      <c r="R176" s="19"/>
      <c r="S176" s="19"/>
      <c r="T176" s="19"/>
      <c r="U176" s="25"/>
      <c r="V176" s="41"/>
      <c r="W176" s="41"/>
      <c r="X176" s="50"/>
      <c r="Y176" s="15"/>
      <c r="Z176" s="50"/>
      <c r="AA176" s="15"/>
      <c r="AB176" s="50"/>
      <c r="AC176" s="15"/>
      <c r="AD176" s="56"/>
      <c r="AE176" s="15"/>
      <c r="AF176" s="16"/>
      <c r="AG176" s="15"/>
      <c r="AH176" s="16"/>
      <c r="AI176" s="15"/>
    </row>
    <row r="177" spans="1:79" s="14" customFormat="1" outlineLevel="1">
      <c r="A177" s="11"/>
      <c r="B177" s="47" t="s">
        <v>1</v>
      </c>
      <c r="C177" s="85">
        <f>+IF(B175&gt;0,B176/B175,0)</f>
        <v>0</v>
      </c>
      <c r="D177" s="14" t="s">
        <v>126</v>
      </c>
      <c r="M177" s="53">
        <f>++IF(C177&gt;AD177,AE177,IF(C177&gt;AB177,AC177,IF(C177&gt;Z177,AA177,IF(C177&gt;=X177,Y177,))))</f>
        <v>0</v>
      </c>
      <c r="N177" s="8"/>
      <c r="O177" s="33" t="str">
        <f>+X177*100&amp;"-"&amp;Z177*100</f>
        <v>30-40</v>
      </c>
      <c r="P177" s="19" t="str">
        <f>+"&gt;"&amp;Z177*100&amp;"-"&amp;AB177*100</f>
        <v>&gt;40-50</v>
      </c>
      <c r="Q177" s="19" t="str">
        <f>+"&gt;"&amp;AB177*100&amp;"-"&amp;AD177*100</f>
        <v>&gt;50-60</v>
      </c>
      <c r="R177" s="19" t="str">
        <f>+"&gt;"&amp;AD177*100</f>
        <v>&gt;60</v>
      </c>
      <c r="S177" s="19"/>
      <c r="T177" s="19"/>
      <c r="U177" s="25" t="s">
        <v>15</v>
      </c>
      <c r="V177" s="41"/>
      <c r="W177" s="41"/>
      <c r="X177" s="50">
        <v>0.3</v>
      </c>
      <c r="Y177" s="15">
        <v>0.5</v>
      </c>
      <c r="Z177" s="50">
        <v>0.4</v>
      </c>
      <c r="AA177" s="15">
        <v>1</v>
      </c>
      <c r="AB177" s="50">
        <v>0.5</v>
      </c>
      <c r="AC177" s="15">
        <v>1.5</v>
      </c>
      <c r="AD177" s="50">
        <v>0.6</v>
      </c>
      <c r="AE177" s="15">
        <v>2</v>
      </c>
      <c r="AF177" s="16"/>
      <c r="AG177" s="15"/>
      <c r="AH177" s="16"/>
      <c r="AI177" s="15"/>
    </row>
    <row r="178" spans="1:79" s="14" customFormat="1" outlineLevel="1">
      <c r="A178" s="65" t="s">
        <v>17</v>
      </c>
      <c r="B178" s="2">
        <v>0</v>
      </c>
      <c r="C178" s="14" t="s">
        <v>128</v>
      </c>
      <c r="D178" s="52"/>
      <c r="M178" s="34"/>
      <c r="N178" s="8"/>
      <c r="O178" s="33"/>
      <c r="P178" s="19"/>
      <c r="Q178" s="19"/>
      <c r="R178" s="19"/>
      <c r="S178" s="19"/>
      <c r="T178" s="19"/>
      <c r="U178" s="25"/>
      <c r="V178" s="41"/>
      <c r="W178" s="41"/>
      <c r="X178" s="50"/>
      <c r="Y178" s="15"/>
      <c r="Z178" s="50"/>
      <c r="AA178" s="15"/>
      <c r="AB178" s="50"/>
      <c r="AC178" s="15"/>
      <c r="AD178" s="50"/>
      <c r="AE178" s="15"/>
      <c r="AF178" s="16"/>
      <c r="AG178" s="15"/>
      <c r="AH178" s="16"/>
      <c r="AI178" s="15"/>
    </row>
    <row r="179" spans="1:79" s="14" customFormat="1" outlineLevel="1">
      <c r="A179" s="11"/>
      <c r="B179" s="47" t="s">
        <v>1</v>
      </c>
      <c r="C179" s="85">
        <f>+IF(B175&gt;0,B178/B175,0)</f>
        <v>0</v>
      </c>
      <c r="D179" s="14" t="s">
        <v>126</v>
      </c>
      <c r="M179" s="53">
        <f>++IF(C179&gt;AD179,AE179,IF(C179&gt;AB179,AC179,IF(C179&gt;Z179,AA179,IF(C179&gt;=X179,Y179,))))</f>
        <v>0</v>
      </c>
      <c r="N179" s="8"/>
      <c r="O179" s="33" t="str">
        <f>+X179*100&amp;"-"&amp;Z179*100</f>
        <v>30-40</v>
      </c>
      <c r="P179" s="19" t="str">
        <f>+"&gt;"&amp;Z179*100&amp;"-"&amp;AB179*100</f>
        <v>&gt;40-50</v>
      </c>
      <c r="Q179" s="19" t="str">
        <f>+"&gt;"&amp;AB179*100&amp;"-"&amp;AD179*100</f>
        <v>&gt;50-60</v>
      </c>
      <c r="R179" s="19" t="str">
        <f>+"&gt;"&amp;AD179*100</f>
        <v>&gt;60</v>
      </c>
      <c r="S179" s="19"/>
      <c r="T179" s="19"/>
      <c r="U179" s="25" t="s">
        <v>15</v>
      </c>
      <c r="V179" s="41"/>
      <c r="W179" s="41"/>
      <c r="X179" s="50">
        <v>0.3</v>
      </c>
      <c r="Y179" s="15">
        <v>0.5</v>
      </c>
      <c r="Z179" s="50">
        <v>0.4</v>
      </c>
      <c r="AA179" s="15">
        <v>1</v>
      </c>
      <c r="AB179" s="50">
        <v>0.5</v>
      </c>
      <c r="AC179" s="15">
        <v>1.5</v>
      </c>
      <c r="AD179" s="50">
        <v>0.6</v>
      </c>
      <c r="AE179" s="15">
        <v>2</v>
      </c>
      <c r="AF179" s="16"/>
      <c r="AG179" s="15"/>
      <c r="AH179" s="16"/>
      <c r="AI179" s="15"/>
    </row>
    <row r="180" spans="1:79" s="14" customFormat="1">
      <c r="A180" s="65" t="s">
        <v>54</v>
      </c>
      <c r="B180" s="64">
        <v>0</v>
      </c>
      <c r="C180" s="500" t="s">
        <v>127</v>
      </c>
      <c r="D180" s="500"/>
      <c r="E180" s="500"/>
      <c r="F180" s="500"/>
      <c r="G180" s="500"/>
      <c r="H180" s="500"/>
      <c r="I180" s="500"/>
      <c r="J180" s="500"/>
      <c r="K180" s="500"/>
      <c r="M180" s="34"/>
      <c r="O180" s="33"/>
      <c r="P180" s="19"/>
      <c r="Q180" s="19"/>
      <c r="R180" s="19"/>
      <c r="S180" s="19"/>
      <c r="T180" s="19"/>
      <c r="U180" s="25"/>
      <c r="V180" s="41"/>
      <c r="W180" s="17"/>
      <c r="X180" s="50"/>
      <c r="Y180" s="15"/>
      <c r="Z180" s="50"/>
      <c r="AA180" s="15"/>
      <c r="AB180" s="50"/>
      <c r="AC180" s="15"/>
      <c r="AD180" s="50"/>
      <c r="AE180" s="15"/>
      <c r="AF180" s="16"/>
      <c r="AG180" s="15"/>
      <c r="AH180" s="16"/>
      <c r="AI180" s="15"/>
    </row>
    <row r="181" spans="1:79" s="14" customFormat="1">
      <c r="A181" s="11"/>
      <c r="B181" s="47" t="s">
        <v>1</v>
      </c>
      <c r="C181" s="85">
        <f>+IF(B175&gt;0,B180/B175,0)</f>
        <v>0</v>
      </c>
      <c r="D181" s="14" t="s">
        <v>126</v>
      </c>
      <c r="M181" s="53">
        <f>++IF(C181&gt;AD181,AE181,IF(C181&gt;AB181,AC181,IF(C181&gt;Z181,AA181,IF(C181&gt;=X181,Y181,))))</f>
        <v>0</v>
      </c>
      <c r="O181" s="33" t="str">
        <f>+X181*100&amp;"-"&amp;Z181*100</f>
        <v>12-18</v>
      </c>
      <c r="P181" s="19" t="str">
        <f>+"&gt;"&amp;Z181*100&amp;"-"&amp;AB181*100</f>
        <v>&gt;18-24</v>
      </c>
      <c r="Q181" s="19" t="str">
        <f>+"&gt;"&amp;AB181*100&amp;"-"&amp;AD181*100</f>
        <v>&gt;24-30</v>
      </c>
      <c r="R181" s="19" t="str">
        <f>+"&gt;"&amp;AD181*100</f>
        <v>&gt;30</v>
      </c>
      <c r="S181" s="19"/>
      <c r="T181" s="19"/>
      <c r="U181" s="25" t="s">
        <v>15</v>
      </c>
      <c r="V181" s="41"/>
      <c r="W181" s="17"/>
      <c r="X181" s="50">
        <v>0.12</v>
      </c>
      <c r="Y181" s="15">
        <v>0.5</v>
      </c>
      <c r="Z181" s="50">
        <v>0.18</v>
      </c>
      <c r="AA181" s="15">
        <v>1</v>
      </c>
      <c r="AB181" s="50">
        <v>0.24</v>
      </c>
      <c r="AC181" s="15">
        <v>1.5</v>
      </c>
      <c r="AD181" s="50">
        <v>0.3</v>
      </c>
      <c r="AE181" s="15">
        <v>2</v>
      </c>
      <c r="AF181" s="16"/>
      <c r="AG181" s="15"/>
      <c r="AH181" s="16"/>
      <c r="AI181" s="15"/>
    </row>
    <row r="182" spans="1:79" s="14" customFormat="1" hidden="1" outlineLevel="1">
      <c r="A182" s="11">
        <v>12.3</v>
      </c>
      <c r="B182" s="63">
        <v>0</v>
      </c>
      <c r="C182" s="14" t="s">
        <v>19</v>
      </c>
      <c r="M182" s="73"/>
      <c r="N182" s="8"/>
      <c r="O182" s="19"/>
      <c r="P182" s="33"/>
      <c r="Q182" s="19"/>
      <c r="R182" s="19"/>
      <c r="S182" s="19"/>
      <c r="T182" s="19"/>
      <c r="U182" s="25"/>
      <c r="V182" s="62"/>
      <c r="W182" s="61"/>
      <c r="X182" s="56"/>
      <c r="Y182" s="15"/>
      <c r="Z182" s="56"/>
      <c r="AA182" s="15"/>
      <c r="AB182" s="56"/>
      <c r="AC182" s="15"/>
      <c r="AD182" s="56"/>
      <c r="AE182" s="15"/>
      <c r="AF182" s="16"/>
      <c r="AG182" s="15"/>
      <c r="AH182" s="16"/>
      <c r="AI182" s="15"/>
    </row>
    <row r="183" spans="1:79" s="14" customFormat="1" hidden="1" outlineLevel="1">
      <c r="A183" s="11"/>
      <c r="B183" s="4"/>
      <c r="C183" s="47" t="s">
        <v>1</v>
      </c>
      <c r="D183" s="52">
        <f>+IF(B175&gt;0,B182/B175,0)</f>
        <v>0</v>
      </c>
      <c r="E183" s="14" t="s">
        <v>18</v>
      </c>
      <c r="M183" s="53">
        <f>+IF(D183&gt;0.95,0.5,0)</f>
        <v>0</v>
      </c>
      <c r="N183" s="8"/>
      <c r="O183" s="33">
        <v>100</v>
      </c>
      <c r="P183" s="19"/>
      <c r="Q183" s="19"/>
      <c r="R183" s="19"/>
      <c r="S183" s="19"/>
      <c r="T183" s="19"/>
      <c r="U183" s="25" t="s">
        <v>15</v>
      </c>
      <c r="V183" s="41"/>
      <c r="W183" s="178"/>
      <c r="X183" s="56"/>
      <c r="Y183" s="15"/>
      <c r="Z183" s="56"/>
      <c r="AA183" s="55"/>
      <c r="AB183" s="56"/>
      <c r="AC183" s="55"/>
      <c r="AD183" s="56"/>
      <c r="AE183" s="55"/>
      <c r="AF183" s="59"/>
      <c r="AG183" s="55"/>
      <c r="AH183" s="59"/>
      <c r="AI183" s="55"/>
    </row>
    <row r="184" spans="1:79" ht="6.6" customHeight="1" outlineLevel="1">
      <c r="D184" s="13"/>
      <c r="E184" s="13"/>
      <c r="F184" s="13"/>
      <c r="G184" s="13"/>
      <c r="H184" s="13"/>
      <c r="N184" s="9"/>
      <c r="O184" s="19"/>
      <c r="P184" s="19"/>
      <c r="Q184" s="19"/>
      <c r="R184" s="19"/>
      <c r="S184" s="19"/>
      <c r="T184" s="19"/>
      <c r="U184" s="18"/>
    </row>
    <row r="185" spans="1:79" s="14" customFormat="1">
      <c r="A185" s="11"/>
      <c r="B185" s="13" t="s">
        <v>125</v>
      </c>
      <c r="C185" s="47"/>
      <c r="D185" s="52"/>
      <c r="M185" s="406">
        <f>SUM(M162:M184)</f>
        <v>0</v>
      </c>
      <c r="N185" s="8"/>
      <c r="O185" s="33"/>
      <c r="P185" s="19"/>
      <c r="Q185" s="19"/>
      <c r="R185" s="19"/>
      <c r="S185" s="19"/>
      <c r="T185" s="19"/>
      <c r="U185" s="57"/>
      <c r="V185" s="41"/>
      <c r="W185" s="41"/>
      <c r="X185" s="56"/>
      <c r="Y185" s="15"/>
      <c r="Z185" s="56"/>
      <c r="AA185" s="55"/>
      <c r="AB185" s="56"/>
      <c r="AC185" s="55"/>
      <c r="AD185" s="56"/>
      <c r="AE185" s="55"/>
      <c r="AF185" s="16"/>
      <c r="AG185" s="15"/>
      <c r="AH185" s="16"/>
      <c r="AI185" s="15"/>
    </row>
    <row r="186" spans="1:79" s="14" customFormat="1">
      <c r="A186" s="11"/>
      <c r="B186" s="4" t="s">
        <v>124</v>
      </c>
      <c r="C186" s="47"/>
      <c r="G186" s="85">
        <f>+(DGL_Streue+B16)/LN</f>
        <v>0</v>
      </c>
      <c r="M186" s="53"/>
      <c r="N186" s="8"/>
      <c r="O186" s="19"/>
      <c r="P186" s="19"/>
      <c r="Q186" s="19"/>
      <c r="R186" s="19"/>
      <c r="S186" s="19"/>
      <c r="T186" s="19"/>
      <c r="U186" s="25"/>
      <c r="V186" s="41"/>
      <c r="W186" s="41"/>
      <c r="X186" s="50"/>
      <c r="Y186" s="15"/>
      <c r="Z186" s="50"/>
      <c r="AA186" s="15"/>
      <c r="AB186" s="50"/>
      <c r="AC186" s="15"/>
      <c r="AD186" s="16"/>
      <c r="AE186" s="15"/>
      <c r="AF186" s="16"/>
      <c r="AG186" s="15"/>
      <c r="AH186" s="16"/>
      <c r="AI186" s="15"/>
    </row>
    <row r="187" spans="1:79" ht="6.6" customHeight="1">
      <c r="D187" s="13"/>
      <c r="E187" s="13"/>
      <c r="F187" s="13"/>
      <c r="G187" s="13"/>
      <c r="H187" s="13"/>
      <c r="N187" s="9"/>
      <c r="O187" s="19"/>
      <c r="P187" s="19"/>
      <c r="Q187" s="19"/>
      <c r="R187" s="19"/>
      <c r="S187" s="19"/>
      <c r="T187" s="19"/>
      <c r="U187" s="18"/>
    </row>
    <row r="188" spans="1:79" outlineLevel="1">
      <c r="A188" s="450" t="s">
        <v>123</v>
      </c>
      <c r="B188" s="451"/>
      <c r="C188" s="450"/>
      <c r="D188" s="451"/>
      <c r="E188" s="451"/>
      <c r="F188" s="451"/>
      <c r="G188" s="451"/>
      <c r="H188" s="451"/>
      <c r="I188" s="451"/>
      <c r="J188" s="451"/>
      <c r="K188" s="451"/>
      <c r="L188" s="451"/>
      <c r="M188" s="451"/>
      <c r="N188" s="452">
        <f>+M185*G186</f>
        <v>0</v>
      </c>
      <c r="O188" s="453"/>
      <c r="P188" s="453"/>
      <c r="Q188" s="453"/>
      <c r="R188" s="453"/>
      <c r="S188" s="453"/>
      <c r="T188" s="453"/>
      <c r="U188" s="454"/>
      <c r="V188" s="9"/>
      <c r="W188" s="9"/>
      <c r="X188" s="4"/>
      <c r="Y188" s="4"/>
      <c r="Z188" s="4"/>
      <c r="AA188" s="4"/>
      <c r="AB188" s="4"/>
      <c r="AC188" s="4"/>
      <c r="AD188" s="4"/>
      <c r="AE188" s="4"/>
      <c r="AF188" s="4"/>
      <c r="AG188" s="4"/>
      <c r="AH188" s="4"/>
      <c r="AI188" s="4"/>
      <c r="AJ188" s="8"/>
      <c r="AK188" s="8"/>
      <c r="AL188" s="8"/>
      <c r="AM188" s="8"/>
      <c r="AN188" s="8"/>
      <c r="AO188" s="8"/>
      <c r="AP188" s="8"/>
      <c r="AQ188" s="8"/>
      <c r="AR188" s="8"/>
      <c r="AS188" s="8"/>
      <c r="AT188" s="8"/>
      <c r="AU188" s="8"/>
      <c r="AV188" s="8"/>
      <c r="AW188" s="8"/>
      <c r="AX188" s="8"/>
      <c r="AY188" s="8"/>
      <c r="AZ188" s="8"/>
      <c r="BA188" s="8"/>
      <c r="BB188" s="8"/>
      <c r="BC188" s="8"/>
      <c r="BD188" s="8"/>
      <c r="BE188" s="8"/>
      <c r="BF188" s="8"/>
      <c r="BG188" s="8"/>
      <c r="BH188" s="8"/>
      <c r="BI188" s="8"/>
      <c r="BJ188" s="8"/>
      <c r="BK188" s="8"/>
      <c r="BL188" s="8"/>
      <c r="BM188" s="8"/>
      <c r="BN188" s="8"/>
      <c r="BO188" s="8"/>
      <c r="BP188" s="8"/>
      <c r="BQ188" s="8"/>
      <c r="BR188" s="8"/>
      <c r="BS188" s="8"/>
      <c r="BT188" s="8"/>
      <c r="BU188" s="8"/>
      <c r="BV188" s="8"/>
      <c r="BW188" s="8"/>
      <c r="BX188" s="8"/>
      <c r="BY188" s="8"/>
      <c r="BZ188" s="8"/>
      <c r="CA188" s="8"/>
    </row>
    <row r="189" spans="1:79" ht="6.6" customHeight="1">
      <c r="D189" s="13"/>
      <c r="E189" s="13"/>
      <c r="F189" s="13"/>
      <c r="G189" s="13"/>
      <c r="H189" s="13"/>
      <c r="N189" s="9"/>
      <c r="O189" s="19"/>
      <c r="P189" s="19"/>
      <c r="Q189" s="19"/>
      <c r="R189" s="19"/>
      <c r="S189" s="19"/>
      <c r="T189" s="19"/>
      <c r="U189" s="18"/>
      <c r="AJ189" s="4"/>
      <c r="AK189" s="4"/>
      <c r="AL189" s="4"/>
      <c r="AM189" s="4"/>
      <c r="AN189" s="4"/>
      <c r="AO189" s="4"/>
    </row>
    <row r="190" spans="1:79" outlineLevel="1">
      <c r="A190" s="450" t="s">
        <v>122</v>
      </c>
      <c r="B190" s="451"/>
      <c r="C190" s="450"/>
      <c r="D190" s="451"/>
      <c r="E190" s="451"/>
      <c r="F190" s="451"/>
      <c r="G190" s="451"/>
      <c r="H190" s="451"/>
      <c r="I190" s="451"/>
      <c r="J190" s="451"/>
      <c r="K190" s="451"/>
      <c r="L190" s="451"/>
      <c r="M190" s="455" t="s">
        <v>121</v>
      </c>
      <c r="N190" s="455" t="s">
        <v>27</v>
      </c>
      <c r="O190" s="453" t="s">
        <v>120</v>
      </c>
      <c r="P190" s="453" t="s">
        <v>119</v>
      </c>
      <c r="Q190" s="453" t="s">
        <v>118</v>
      </c>
      <c r="R190" s="453" t="s">
        <v>117</v>
      </c>
      <c r="S190" s="453" t="s">
        <v>245</v>
      </c>
      <c r="T190" s="453" t="s">
        <v>209</v>
      </c>
      <c r="U190" s="453" t="s">
        <v>116</v>
      </c>
      <c r="V190" s="9"/>
      <c r="W190" s="9"/>
      <c r="X190" s="4"/>
      <c r="Y190" s="4"/>
      <c r="Z190" s="4"/>
      <c r="AA190" s="4"/>
      <c r="AB190" s="4"/>
      <c r="AC190" s="4"/>
      <c r="AD190" s="4"/>
      <c r="AE190" s="4"/>
      <c r="AF190" s="4"/>
      <c r="AG190" s="4"/>
      <c r="AH190" s="4"/>
      <c r="AI190" s="4"/>
      <c r="AJ190" s="8"/>
      <c r="AK190" s="8"/>
      <c r="AL190" s="8"/>
      <c r="AM190" s="8"/>
      <c r="AN190" s="8"/>
      <c r="AO190" s="8"/>
      <c r="AP190" s="8"/>
      <c r="AQ190" s="8"/>
      <c r="AR190" s="8"/>
      <c r="AS190" s="8"/>
      <c r="AT190" s="8"/>
      <c r="AU190" s="8"/>
      <c r="AV190" s="8"/>
      <c r="AW190" s="8"/>
      <c r="AX190" s="8"/>
      <c r="AY190" s="8"/>
      <c r="AZ190" s="8"/>
      <c r="BA190" s="8"/>
      <c r="BB190" s="8"/>
      <c r="BC190" s="8"/>
      <c r="BD190" s="8"/>
      <c r="BE190" s="8"/>
      <c r="BF190" s="8"/>
      <c r="BG190" s="8"/>
      <c r="BH190" s="8"/>
      <c r="BI190" s="8"/>
      <c r="BJ190" s="8"/>
      <c r="BK190" s="8"/>
      <c r="BL190" s="8"/>
      <c r="BM190" s="8"/>
      <c r="BN190" s="8"/>
      <c r="BO190" s="8"/>
      <c r="BP190" s="8"/>
      <c r="BQ190" s="8"/>
      <c r="BR190" s="8"/>
      <c r="BS190" s="8"/>
      <c r="BT190" s="8"/>
      <c r="BU190" s="8"/>
      <c r="BV190" s="8"/>
      <c r="BW190" s="8"/>
      <c r="BX190" s="8"/>
      <c r="BY190" s="8"/>
      <c r="BZ190" s="8"/>
      <c r="CA190" s="8"/>
    </row>
    <row r="191" spans="1:79" ht="6.6" customHeight="1" outlineLevel="1">
      <c r="D191" s="13"/>
      <c r="E191" s="13"/>
      <c r="F191" s="13"/>
      <c r="G191" s="13"/>
      <c r="H191" s="13"/>
      <c r="N191" s="9"/>
      <c r="O191" s="19"/>
      <c r="P191" s="19"/>
      <c r="Q191" s="19"/>
      <c r="R191" s="19"/>
      <c r="S191" s="19"/>
      <c r="T191" s="19"/>
      <c r="U191" s="18"/>
    </row>
    <row r="192" spans="1:79" s="14" customFormat="1" outlineLevel="1">
      <c r="A192" s="11" t="s">
        <v>491</v>
      </c>
      <c r="B192" s="32" t="s">
        <v>488</v>
      </c>
      <c r="D192" s="43"/>
      <c r="M192" s="53"/>
      <c r="N192" s="8"/>
      <c r="O192" s="33"/>
      <c r="P192" s="19"/>
      <c r="Q192" s="19"/>
      <c r="R192" s="19"/>
      <c r="S192" s="19"/>
      <c r="T192" s="19"/>
      <c r="U192" s="25"/>
      <c r="V192" s="41"/>
      <c r="W192" s="41"/>
      <c r="X192" s="44"/>
      <c r="Y192" s="15"/>
      <c r="Z192" s="44"/>
      <c r="AA192" s="15"/>
      <c r="AB192" s="44"/>
      <c r="AC192" s="45"/>
      <c r="AD192" s="44"/>
      <c r="AE192" s="15"/>
      <c r="AF192" s="40"/>
      <c r="AG192" s="39"/>
      <c r="AH192" s="40"/>
      <c r="AI192" s="39"/>
    </row>
    <row r="193" spans="1:35" s="14" customFormat="1" outlineLevel="1">
      <c r="A193" s="11"/>
      <c r="B193" s="2">
        <v>0</v>
      </c>
      <c r="C193" s="14" t="s">
        <v>487</v>
      </c>
      <c r="D193" s="43"/>
      <c r="M193" s="53"/>
      <c r="N193" s="8"/>
      <c r="O193" s="33"/>
      <c r="P193" s="19"/>
      <c r="Q193" s="19"/>
      <c r="R193" s="19"/>
      <c r="S193" s="19"/>
      <c r="T193" s="19"/>
      <c r="U193" s="25"/>
      <c r="V193" s="41"/>
      <c r="W193" s="41"/>
      <c r="X193" s="44"/>
      <c r="Y193" s="15"/>
      <c r="Z193" s="44"/>
      <c r="AA193" s="15"/>
      <c r="AB193" s="44"/>
      <c r="AC193" s="45"/>
      <c r="AD193" s="44"/>
      <c r="AE193" s="15"/>
      <c r="AF193" s="40"/>
      <c r="AG193" s="39"/>
      <c r="AH193" s="40"/>
      <c r="AI193" s="39"/>
    </row>
    <row r="194" spans="1:35" s="14" customFormat="1" outlineLevel="1">
      <c r="A194" s="11"/>
      <c r="B194" s="47" t="s">
        <v>1</v>
      </c>
      <c r="C194" s="52">
        <f>+B193/B$13</f>
        <v>0</v>
      </c>
      <c r="D194" s="14" t="s">
        <v>162</v>
      </c>
      <c r="I194" s="51"/>
      <c r="M194" s="53">
        <f>+IF(C194&gt;AD194,AE194,IF(C194&gt;AB194,AC194,IF(C194&gt;Z194,AA194,IF(C194&gt;=X194,Y194,0))))</f>
        <v>0</v>
      </c>
      <c r="N194" s="8"/>
      <c r="O194" s="33" t="str">
        <f>+X194*100&amp;"-"&amp;Z194*100</f>
        <v>2-3</v>
      </c>
      <c r="P194" s="19" t="str">
        <f>+"&gt;"&amp;Z194*100&amp;"-"&amp;AB194*100</f>
        <v>&gt;3-4</v>
      </c>
      <c r="Q194" s="19" t="str">
        <f>+"&gt;"&amp;AB194*100&amp;"-"&amp;AD194*100</f>
        <v>&gt;4-5</v>
      </c>
      <c r="R194" s="19" t="str">
        <f>+"&gt;"&amp;AD194*100</f>
        <v>&gt;5</v>
      </c>
      <c r="S194" s="19"/>
      <c r="T194" s="19"/>
      <c r="U194" s="25" t="s">
        <v>15</v>
      </c>
      <c r="V194" s="41"/>
      <c r="W194" s="41"/>
      <c r="X194" s="50">
        <v>0.02</v>
      </c>
      <c r="Y194" s="15">
        <v>0.5</v>
      </c>
      <c r="Z194" s="50">
        <v>0.03</v>
      </c>
      <c r="AA194" s="15">
        <v>1</v>
      </c>
      <c r="AB194" s="50">
        <v>0.04</v>
      </c>
      <c r="AC194" s="15">
        <v>1.5</v>
      </c>
      <c r="AD194" s="50">
        <v>0.05</v>
      </c>
      <c r="AE194" s="15">
        <v>2</v>
      </c>
      <c r="AF194" s="16"/>
      <c r="AG194" s="15"/>
      <c r="AH194" s="16"/>
      <c r="AI194" s="15"/>
    </row>
    <row r="195" spans="1:35" ht="6.6" customHeight="1">
      <c r="B195" s="43"/>
      <c r="D195" s="13"/>
      <c r="E195" s="13"/>
      <c r="F195" s="13"/>
      <c r="G195" s="13"/>
      <c r="H195" s="13"/>
      <c r="N195" s="9"/>
      <c r="O195" s="19"/>
      <c r="P195" s="19"/>
      <c r="Q195" s="19"/>
      <c r="R195" s="19"/>
      <c r="S195" s="19"/>
      <c r="T195" s="19"/>
      <c r="U195" s="18"/>
    </row>
    <row r="196" spans="1:35" s="14" customFormat="1" outlineLevel="1">
      <c r="A196" s="11">
        <v>13</v>
      </c>
      <c r="B196" s="32" t="s">
        <v>115</v>
      </c>
      <c r="C196" s="47"/>
      <c r="D196" s="43"/>
      <c r="M196" s="53"/>
      <c r="N196" s="8"/>
      <c r="O196" s="33"/>
      <c r="P196" s="19"/>
      <c r="Q196" s="19"/>
      <c r="R196" s="19"/>
      <c r="S196" s="19"/>
      <c r="T196" s="19"/>
      <c r="U196" s="25"/>
      <c r="V196" s="41"/>
      <c r="W196" s="17"/>
      <c r="X196" s="40"/>
      <c r="Y196" s="39"/>
      <c r="Z196" s="40"/>
      <c r="AA196" s="39"/>
      <c r="AB196" s="40"/>
      <c r="AC196" s="45"/>
      <c r="AD196" s="40"/>
      <c r="AE196" s="39"/>
      <c r="AF196" s="40"/>
      <c r="AG196" s="39"/>
      <c r="AH196" s="40"/>
      <c r="AI196" s="39"/>
    </row>
    <row r="197" spans="1:35" s="14" customFormat="1" outlineLevel="1">
      <c r="A197" s="11">
        <v>13.1</v>
      </c>
      <c r="B197" s="500" t="s">
        <v>114</v>
      </c>
      <c r="C197" s="500"/>
      <c r="D197" s="500"/>
      <c r="E197" s="500"/>
      <c r="I197" s="49" t="s">
        <v>113</v>
      </c>
      <c r="K197" s="14">
        <f>SUM(G199:G202,K199:K202)</f>
        <v>0</v>
      </c>
      <c r="M197" s="53">
        <f>IF(K197&gt;AD197,AE197,IF(K197&gt;AB197,AC197,IF(K197&gt;Z197,AA197,IF(K197&gt;=X197,Y197,))))</f>
        <v>0</v>
      </c>
      <c r="N197" s="8"/>
      <c r="O197" s="267" t="str">
        <f>+X197&amp;"–"&amp;Z197</f>
        <v>100–200</v>
      </c>
      <c r="P197" s="264" t="str">
        <f>+"&gt;"&amp;Z197&amp;"–"&amp;AB197</f>
        <v>&gt;200–300</v>
      </c>
      <c r="Q197" s="264" t="str">
        <f>+"&gt;"&amp;AB197&amp;"-"&amp;AD197</f>
        <v>&gt;300-400</v>
      </c>
      <c r="R197" s="19" t="str">
        <f>+"&gt;"&amp;AD197</f>
        <v>&gt;400</v>
      </c>
      <c r="S197" s="19"/>
      <c r="T197" s="19"/>
      <c r="U197" s="25" t="s">
        <v>5</v>
      </c>
      <c r="V197" s="41"/>
      <c r="W197" s="17"/>
      <c r="X197" s="44">
        <v>100</v>
      </c>
      <c r="Y197" s="15">
        <v>0.5</v>
      </c>
      <c r="Z197" s="44">
        <v>200</v>
      </c>
      <c r="AA197" s="15">
        <v>1</v>
      </c>
      <c r="AB197" s="44">
        <v>300</v>
      </c>
      <c r="AC197" s="45">
        <v>1.5</v>
      </c>
      <c r="AD197" s="44">
        <v>400</v>
      </c>
      <c r="AE197" s="15">
        <v>2</v>
      </c>
      <c r="AF197" s="40"/>
      <c r="AG197" s="39"/>
      <c r="AH197" s="40"/>
      <c r="AI197" s="39"/>
    </row>
    <row r="198" spans="1:35" s="14" customFormat="1" outlineLevel="1">
      <c r="A198" s="11"/>
      <c r="B198" s="43"/>
      <c r="D198" s="43"/>
      <c r="E198" s="14" t="s">
        <v>112</v>
      </c>
      <c r="G198" s="14" t="s">
        <v>111</v>
      </c>
      <c r="I198" s="14" t="s">
        <v>112</v>
      </c>
      <c r="J198" s="43"/>
      <c r="K198" s="14" t="s">
        <v>111</v>
      </c>
      <c r="M198" s="53"/>
      <c r="N198" s="8"/>
      <c r="O198" s="33"/>
      <c r="P198" s="19"/>
      <c r="Q198" s="19"/>
      <c r="R198" s="19"/>
      <c r="S198" s="19"/>
      <c r="T198" s="19"/>
      <c r="U198" s="25"/>
      <c r="V198" s="41"/>
      <c r="W198" s="17"/>
      <c r="X198" s="44"/>
      <c r="Y198" s="15"/>
      <c r="Z198" s="44"/>
      <c r="AA198" s="15"/>
      <c r="AB198" s="44"/>
      <c r="AC198" s="45"/>
      <c r="AD198" s="44"/>
      <c r="AE198" s="15"/>
      <c r="AF198" s="40"/>
      <c r="AG198" s="39"/>
      <c r="AH198" s="40"/>
      <c r="AI198" s="39"/>
    </row>
    <row r="199" spans="1:35" s="14" customFormat="1" outlineLevel="1">
      <c r="A199" s="11"/>
      <c r="C199" s="48">
        <f ca="1">YEAR(TODAY())</f>
        <v>2026</v>
      </c>
      <c r="D199" s="43"/>
      <c r="E199" s="237">
        <v>2026</v>
      </c>
      <c r="G199" s="38">
        <v>0</v>
      </c>
      <c r="I199" s="253">
        <f>+E202-1</f>
        <v>2022</v>
      </c>
      <c r="K199" s="38">
        <v>0</v>
      </c>
      <c r="M199" s="53"/>
      <c r="N199" s="8"/>
      <c r="O199" s="33"/>
      <c r="P199" s="19"/>
      <c r="Q199" s="19"/>
      <c r="R199" s="19"/>
      <c r="S199" s="19"/>
      <c r="T199" s="19"/>
      <c r="U199" s="25"/>
      <c r="V199" s="41"/>
      <c r="W199" s="17"/>
      <c r="X199" s="44"/>
      <c r="Y199" s="15"/>
      <c r="Z199" s="44"/>
      <c r="AA199" s="15"/>
      <c r="AB199" s="44"/>
      <c r="AC199" s="45"/>
      <c r="AD199" s="44"/>
      <c r="AE199" s="15"/>
      <c r="AF199" s="40"/>
      <c r="AG199" s="39"/>
      <c r="AH199" s="40"/>
      <c r="AI199" s="39"/>
    </row>
    <row r="200" spans="1:35" s="14" customFormat="1" outlineLevel="1">
      <c r="A200" s="11"/>
      <c r="B200" s="43"/>
      <c r="D200" s="43"/>
      <c r="E200" s="253">
        <f>+E199-1</f>
        <v>2025</v>
      </c>
      <c r="G200" s="38">
        <v>0</v>
      </c>
      <c r="I200" s="253">
        <f t="shared" ref="I200:I202" si="1">+I199-1</f>
        <v>2021</v>
      </c>
      <c r="K200" s="38">
        <v>0</v>
      </c>
      <c r="M200" s="53"/>
      <c r="N200" s="8"/>
      <c r="O200" s="33"/>
      <c r="P200" s="19"/>
      <c r="Q200" s="19"/>
      <c r="R200" s="19"/>
      <c r="S200" s="19"/>
      <c r="T200" s="19"/>
      <c r="U200" s="25"/>
      <c r="V200" s="41"/>
      <c r="W200" s="17"/>
      <c r="X200" s="44"/>
      <c r="Y200" s="15"/>
      <c r="Z200" s="44"/>
      <c r="AA200" s="15"/>
      <c r="AB200" s="44"/>
      <c r="AC200" s="45"/>
      <c r="AD200" s="44"/>
      <c r="AE200" s="15"/>
      <c r="AF200" s="40"/>
      <c r="AG200" s="39"/>
      <c r="AH200" s="40"/>
      <c r="AI200" s="39"/>
    </row>
    <row r="201" spans="1:35" s="14" customFormat="1" outlineLevel="1">
      <c r="A201" s="11"/>
      <c r="B201" s="43"/>
      <c r="D201" s="43"/>
      <c r="E201" s="253">
        <f t="shared" ref="E201:E202" si="2">+E200-1</f>
        <v>2024</v>
      </c>
      <c r="G201" s="38">
        <v>0</v>
      </c>
      <c r="I201" s="253">
        <f t="shared" si="1"/>
        <v>2020</v>
      </c>
      <c r="K201" s="38">
        <v>0</v>
      </c>
      <c r="M201" s="53"/>
      <c r="N201" s="8"/>
      <c r="O201" s="33"/>
      <c r="P201" s="19"/>
      <c r="Q201" s="19"/>
      <c r="R201" s="19"/>
      <c r="S201" s="19"/>
      <c r="T201" s="19"/>
      <c r="U201" s="25"/>
      <c r="V201" s="41"/>
      <c r="W201" s="17"/>
      <c r="X201" s="44"/>
      <c r="Y201" s="15"/>
      <c r="Z201" s="44"/>
      <c r="AA201" s="15"/>
      <c r="AB201" s="44"/>
      <c r="AC201" s="45"/>
      <c r="AD201" s="44"/>
      <c r="AE201" s="15"/>
      <c r="AF201" s="40"/>
      <c r="AG201" s="39"/>
      <c r="AH201" s="40"/>
      <c r="AI201" s="39"/>
    </row>
    <row r="202" spans="1:35" s="14" customFormat="1" outlineLevel="1">
      <c r="A202" s="11"/>
      <c r="B202" s="43"/>
      <c r="D202" s="43"/>
      <c r="E202" s="253">
        <f t="shared" si="2"/>
        <v>2023</v>
      </c>
      <c r="G202" s="38">
        <v>0</v>
      </c>
      <c r="I202" s="253">
        <f t="shared" si="1"/>
        <v>2019</v>
      </c>
      <c r="K202" s="38">
        <v>0</v>
      </c>
      <c r="M202" s="53"/>
      <c r="N202" s="8"/>
      <c r="O202" s="33"/>
      <c r="P202" s="19"/>
      <c r="Q202" s="19"/>
      <c r="R202" s="19"/>
      <c r="S202" s="19"/>
      <c r="T202" s="19"/>
      <c r="U202" s="25"/>
      <c r="V202" s="41"/>
      <c r="W202" s="17"/>
      <c r="X202" s="44"/>
      <c r="Y202" s="15"/>
      <c r="Z202" s="44"/>
      <c r="AA202" s="15"/>
      <c r="AB202" s="44"/>
      <c r="AC202" s="45"/>
      <c r="AD202" s="44"/>
      <c r="AE202" s="15"/>
      <c r="AF202" s="40"/>
      <c r="AG202" s="39"/>
      <c r="AH202" s="40"/>
      <c r="AI202" s="39"/>
    </row>
    <row r="203" spans="1:35" ht="6" customHeight="1">
      <c r="B203" s="43"/>
      <c r="D203" s="13"/>
      <c r="E203" s="13"/>
      <c r="F203" s="13"/>
      <c r="G203" s="13"/>
      <c r="H203" s="13"/>
      <c r="N203" s="9"/>
      <c r="O203" s="19"/>
      <c r="P203" s="19"/>
      <c r="Q203" s="19"/>
      <c r="R203" s="19"/>
      <c r="S203" s="19"/>
      <c r="T203" s="19"/>
      <c r="U203" s="18"/>
    </row>
    <row r="204" spans="1:35" s="14" customFormat="1" outlineLevel="1">
      <c r="A204" s="11">
        <v>13.2</v>
      </c>
      <c r="B204" s="32" t="s">
        <v>110</v>
      </c>
      <c r="C204" s="47"/>
      <c r="D204" s="43"/>
      <c r="M204" s="53"/>
      <c r="N204" s="8"/>
      <c r="O204" s="33"/>
      <c r="P204" s="19"/>
      <c r="Q204" s="19"/>
      <c r="R204" s="19"/>
      <c r="S204" s="19"/>
      <c r="T204" s="19"/>
      <c r="U204" s="25"/>
      <c r="V204" s="41"/>
      <c r="W204" s="17"/>
      <c r="X204" s="40"/>
      <c r="Y204" s="39"/>
      <c r="Z204" s="40"/>
      <c r="AA204" s="39"/>
      <c r="AB204" s="40"/>
      <c r="AC204" s="45"/>
      <c r="AD204" s="40"/>
      <c r="AE204" s="39"/>
      <c r="AF204" s="40"/>
      <c r="AG204" s="39"/>
      <c r="AH204" s="40"/>
      <c r="AI204" s="39"/>
    </row>
    <row r="205" spans="1:35" s="14" customFormat="1" outlineLevel="1">
      <c r="A205" s="11"/>
      <c r="B205" s="46" t="b">
        <v>0</v>
      </c>
      <c r="C205" s="509" t="s">
        <v>109</v>
      </c>
      <c r="D205" s="509"/>
      <c r="E205" s="509"/>
      <c r="F205" s="509"/>
      <c r="G205" s="509"/>
      <c r="H205" s="509"/>
      <c r="I205" s="509"/>
      <c r="J205" s="509"/>
      <c r="M205" s="53">
        <f>+IF(B205,2,0)</f>
        <v>0</v>
      </c>
      <c r="N205" s="8"/>
      <c r="O205" s="33"/>
      <c r="P205" s="19"/>
      <c r="Q205" s="19"/>
      <c r="R205" s="19"/>
      <c r="S205" s="19"/>
      <c r="T205" s="19"/>
      <c r="U205" s="25"/>
      <c r="V205" s="41"/>
      <c r="W205" s="17"/>
      <c r="X205" s="44"/>
      <c r="Y205" s="15"/>
      <c r="Z205" s="44"/>
      <c r="AA205" s="15"/>
      <c r="AB205" s="44"/>
      <c r="AC205" s="45"/>
      <c r="AD205" s="44"/>
      <c r="AE205" s="15"/>
      <c r="AF205" s="40"/>
      <c r="AG205" s="39"/>
      <c r="AH205" s="40"/>
      <c r="AI205" s="39"/>
    </row>
    <row r="206" spans="1:35" ht="6" customHeight="1">
      <c r="B206" s="43"/>
      <c r="D206" s="13"/>
      <c r="E206" s="13"/>
      <c r="F206" s="13"/>
      <c r="G206" s="13"/>
      <c r="H206" s="13"/>
      <c r="N206" s="9"/>
      <c r="O206" s="19"/>
      <c r="P206" s="19"/>
      <c r="Q206" s="19"/>
      <c r="R206" s="19"/>
      <c r="S206" s="19"/>
      <c r="T206" s="19"/>
      <c r="U206" s="18"/>
    </row>
    <row r="207" spans="1:35" s="14" customFormat="1" outlineLevel="1">
      <c r="A207" s="11">
        <v>14</v>
      </c>
      <c r="B207" s="32" t="s">
        <v>108</v>
      </c>
      <c r="M207" s="8"/>
      <c r="N207" s="8"/>
      <c r="O207" s="27"/>
      <c r="P207" s="27"/>
      <c r="Q207" s="27"/>
      <c r="R207" s="27"/>
      <c r="S207" s="27"/>
      <c r="T207" s="27"/>
      <c r="U207" s="25"/>
      <c r="V207" s="16"/>
      <c r="W207" s="16"/>
      <c r="X207" s="16"/>
      <c r="Y207" s="15"/>
      <c r="Z207" s="16"/>
      <c r="AA207" s="15"/>
      <c r="AB207" s="16"/>
      <c r="AC207" s="15"/>
      <c r="AD207" s="16"/>
      <c r="AE207" s="15"/>
      <c r="AF207" s="16"/>
      <c r="AG207" s="15"/>
      <c r="AH207" s="16"/>
      <c r="AI207" s="15"/>
    </row>
    <row r="208" spans="1:35" s="14" customFormat="1">
      <c r="A208" s="11">
        <v>14.1</v>
      </c>
      <c r="B208" s="38">
        <v>0</v>
      </c>
      <c r="C208" s="500" t="s">
        <v>107</v>
      </c>
      <c r="D208" s="500"/>
      <c r="E208" s="500"/>
      <c r="F208" s="500"/>
      <c r="G208" s="500"/>
      <c r="H208" s="500"/>
      <c r="I208" s="500"/>
      <c r="J208" s="500"/>
      <c r="M208" s="53">
        <f>+IF(B208&gt;Z208,AA208,IF(B208&gt;=X208,Y208,))</f>
        <v>0</v>
      </c>
      <c r="O208" s="267" t="str">
        <f>+X208&amp;"–"&amp;Z208</f>
        <v>1–20</v>
      </c>
      <c r="P208" s="19" t="str">
        <f>+"&gt;"&amp;Z208</f>
        <v>&gt;20</v>
      </c>
      <c r="Q208" s="27"/>
      <c r="R208" s="27"/>
      <c r="S208" s="27"/>
      <c r="T208" s="27"/>
      <c r="U208" s="25"/>
      <c r="V208" s="16"/>
      <c r="W208" s="16"/>
      <c r="X208" s="16">
        <v>1</v>
      </c>
      <c r="Y208" s="15">
        <v>0.5</v>
      </c>
      <c r="Z208" s="16">
        <v>20</v>
      </c>
      <c r="AA208" s="15">
        <v>1</v>
      </c>
      <c r="AB208" s="16"/>
      <c r="AC208" s="15"/>
      <c r="AD208" s="16"/>
      <c r="AE208" s="15"/>
      <c r="AF208" s="16"/>
      <c r="AG208" s="15"/>
      <c r="AH208" s="16"/>
      <c r="AI208" s="15"/>
    </row>
    <row r="209" spans="1:40" s="14" customFormat="1" outlineLevel="1">
      <c r="D209" s="43"/>
      <c r="M209" s="8"/>
      <c r="N209" s="8"/>
      <c r="O209" s="33"/>
      <c r="P209" s="19"/>
      <c r="Q209" s="19"/>
      <c r="R209" s="19"/>
      <c r="S209" s="19"/>
      <c r="T209" s="19"/>
      <c r="U209" s="25"/>
      <c r="V209" s="41"/>
      <c r="W209" s="17"/>
      <c r="X209" s="16"/>
      <c r="Y209" s="15"/>
      <c r="Z209" s="16"/>
      <c r="AA209" s="15"/>
      <c r="AB209" s="16"/>
      <c r="AC209" s="15"/>
      <c r="AD209" s="16"/>
      <c r="AE209" s="15"/>
      <c r="AF209" s="40"/>
      <c r="AG209" s="39"/>
      <c r="AH209" s="40"/>
      <c r="AI209" s="39"/>
    </row>
    <row r="210" spans="1:40" s="14" customFormat="1">
      <c r="A210" s="11">
        <v>14.2</v>
      </c>
      <c r="B210" s="38">
        <v>0</v>
      </c>
      <c r="C210" s="500" t="s">
        <v>106</v>
      </c>
      <c r="D210" s="500"/>
      <c r="E210" s="500"/>
      <c r="F210" s="500"/>
      <c r="G210" s="500"/>
      <c r="H210" s="500"/>
      <c r="I210" s="500"/>
      <c r="J210" s="500"/>
      <c r="M210" s="53">
        <f>+IF(B210&gt;Z210,AA210,IF(B210&gt;=X210,Y210,))</f>
        <v>0</v>
      </c>
      <c r="O210" s="267" t="str">
        <f>+X210&amp;"–"&amp;Z210</f>
        <v>11–30</v>
      </c>
      <c r="P210" s="19" t="str">
        <f>+"&gt;"&amp;Z210</f>
        <v>&gt;30</v>
      </c>
      <c r="Q210" s="27"/>
      <c r="R210" s="27"/>
      <c r="S210" s="27"/>
      <c r="T210" s="27"/>
      <c r="U210" s="25"/>
      <c r="V210" s="16"/>
      <c r="W210" s="16"/>
      <c r="X210" s="16">
        <v>11</v>
      </c>
      <c r="Y210" s="15">
        <v>0.5</v>
      </c>
      <c r="Z210" s="16">
        <v>30</v>
      </c>
      <c r="AA210" s="15">
        <v>1</v>
      </c>
      <c r="AB210" s="16"/>
      <c r="AC210" s="15"/>
      <c r="AD210" s="16"/>
      <c r="AE210" s="15"/>
      <c r="AF210" s="16"/>
      <c r="AG210" s="15"/>
      <c r="AH210" s="16"/>
      <c r="AI210" s="15"/>
    </row>
    <row r="211" spans="1:40" ht="6.6" customHeight="1">
      <c r="D211" s="13"/>
      <c r="E211" s="13"/>
      <c r="F211" s="13"/>
      <c r="G211" s="13"/>
      <c r="H211" s="13"/>
      <c r="L211" s="13"/>
      <c r="N211" s="4"/>
      <c r="O211" s="19"/>
      <c r="P211" s="19"/>
      <c r="Q211" s="19"/>
      <c r="R211" s="19"/>
      <c r="S211" s="19"/>
      <c r="T211" s="19"/>
      <c r="U211" s="18"/>
    </row>
    <row r="212" spans="1:40" s="14" customFormat="1">
      <c r="A212" s="11">
        <v>14.3</v>
      </c>
      <c r="B212" s="35">
        <v>0</v>
      </c>
      <c r="C212" s="14" t="s">
        <v>105</v>
      </c>
      <c r="M212" s="53">
        <f>+IF(B212&gt;Z212,AA212,IF(B212&gt;=X212,Y212,))</f>
        <v>0</v>
      </c>
      <c r="O212" s="267" t="str">
        <f>+X212&amp;"–"&amp;Z212</f>
        <v>10–20</v>
      </c>
      <c r="P212" s="19" t="str">
        <f>+"&gt;"&amp;Z212</f>
        <v>&gt;20</v>
      </c>
      <c r="Q212" s="27"/>
      <c r="R212" s="27"/>
      <c r="S212" s="27"/>
      <c r="T212" s="27"/>
      <c r="U212" s="25"/>
      <c r="V212" s="16"/>
      <c r="W212" s="16"/>
      <c r="X212" s="16">
        <v>10</v>
      </c>
      <c r="Y212" s="15">
        <v>0.5</v>
      </c>
      <c r="Z212" s="16">
        <v>20</v>
      </c>
      <c r="AA212" s="15">
        <v>1</v>
      </c>
      <c r="AB212" s="16"/>
      <c r="AC212" s="15"/>
      <c r="AD212" s="16"/>
      <c r="AE212" s="15"/>
      <c r="AF212" s="16"/>
      <c r="AG212" s="15"/>
      <c r="AH212" s="16"/>
      <c r="AI212" s="15"/>
    </row>
    <row r="213" spans="1:40" ht="6" customHeight="1">
      <c r="D213" s="13"/>
      <c r="E213" s="13"/>
      <c r="F213" s="13"/>
      <c r="G213" s="13"/>
      <c r="H213" s="13"/>
      <c r="N213" s="9"/>
      <c r="O213" s="19"/>
      <c r="P213" s="19"/>
      <c r="Q213" s="19"/>
      <c r="R213" s="19"/>
      <c r="S213" s="19"/>
      <c r="T213" s="19"/>
      <c r="U213" s="18"/>
    </row>
    <row r="214" spans="1:40" s="14" customFormat="1" outlineLevel="1">
      <c r="A214" s="11">
        <v>15.1</v>
      </c>
      <c r="B214" s="32" t="s">
        <v>104</v>
      </c>
      <c r="E214" s="32"/>
      <c r="F214" s="32"/>
      <c r="G214" s="32"/>
      <c r="H214" s="32"/>
      <c r="I214" s="32"/>
      <c r="J214" s="32"/>
      <c r="K214" s="32"/>
      <c r="L214" s="32"/>
      <c r="M214" s="31"/>
      <c r="N214" s="8"/>
      <c r="O214" s="30"/>
      <c r="P214" s="30"/>
      <c r="Q214" s="30"/>
      <c r="R214" s="30"/>
      <c r="S214" s="30"/>
      <c r="T214" s="30"/>
      <c r="U214" s="29"/>
      <c r="V214" s="28"/>
      <c r="W214" s="28"/>
      <c r="X214" s="16"/>
      <c r="Y214" s="15"/>
      <c r="Z214" s="16"/>
      <c r="AA214" s="15"/>
      <c r="AB214" s="16"/>
      <c r="AC214" s="15"/>
      <c r="AD214" s="16"/>
      <c r="AE214" s="15"/>
      <c r="AF214" s="16"/>
      <c r="AG214" s="15"/>
      <c r="AH214" s="16"/>
      <c r="AI214" s="15"/>
    </row>
    <row r="215" spans="1:40" s="14" customFormat="1" outlineLevel="1">
      <c r="C215" s="14" t="s">
        <v>103</v>
      </c>
      <c r="M215" s="8"/>
      <c r="N215" s="8"/>
      <c r="O215" s="27"/>
      <c r="P215" s="27"/>
      <c r="Q215" s="27"/>
      <c r="R215" s="27"/>
      <c r="S215" s="27"/>
      <c r="T215" s="27"/>
      <c r="U215" s="25"/>
      <c r="V215" s="16"/>
      <c r="W215" s="16"/>
      <c r="X215" s="16"/>
      <c r="Y215" s="15"/>
      <c r="Z215" s="16"/>
      <c r="AA215" s="15"/>
      <c r="AB215" s="16"/>
      <c r="AC215" s="15"/>
      <c r="AD215" s="16"/>
      <c r="AE215" s="15"/>
      <c r="AF215" s="16"/>
      <c r="AG215" s="15"/>
      <c r="AH215" s="16"/>
      <c r="AI215" s="15"/>
    </row>
    <row r="216" spans="1:40" s="14" customFormat="1" outlineLevel="1">
      <c r="C216" s="14" t="s">
        <v>102</v>
      </c>
      <c r="M216" s="8"/>
      <c r="N216" s="8"/>
      <c r="O216" s="27"/>
      <c r="P216" s="27"/>
      <c r="Q216" s="27"/>
      <c r="R216" s="27"/>
      <c r="S216" s="27"/>
      <c r="T216" s="27"/>
      <c r="U216" s="25"/>
      <c r="V216" s="16"/>
      <c r="W216" s="16"/>
      <c r="X216" s="16"/>
      <c r="Y216" s="15"/>
      <c r="Z216" s="16"/>
      <c r="AA216" s="15"/>
      <c r="AB216" s="16"/>
      <c r="AC216" s="15"/>
      <c r="AD216" s="16"/>
      <c r="AE216" s="15"/>
      <c r="AF216" s="16"/>
      <c r="AG216" s="15"/>
      <c r="AH216" s="16"/>
      <c r="AI216" s="15"/>
    </row>
    <row r="217" spans="1:40" s="14" customFormat="1" outlineLevel="1">
      <c r="A217" s="11"/>
      <c r="C217" s="14" t="s">
        <v>101</v>
      </c>
      <c r="M217" s="407">
        <v>0</v>
      </c>
      <c r="N217" s="8"/>
      <c r="O217" s="19"/>
      <c r="P217" s="19"/>
      <c r="Q217" s="19"/>
      <c r="R217" s="19"/>
      <c r="S217" s="19"/>
      <c r="T217" s="19"/>
      <c r="U217" s="25"/>
      <c r="V217" s="16"/>
      <c r="W217" s="16"/>
      <c r="X217" s="16"/>
      <c r="Y217" s="15"/>
      <c r="Z217" s="16"/>
      <c r="AA217" s="15"/>
      <c r="AB217" s="16"/>
      <c r="AC217" s="15"/>
      <c r="AD217" s="16"/>
      <c r="AE217" s="15"/>
      <c r="AF217" s="16"/>
      <c r="AG217" s="15"/>
      <c r="AH217" s="16"/>
      <c r="AI217" s="15"/>
    </row>
    <row r="218" spans="1:40" s="14" customFormat="1" ht="6" customHeight="1" outlineLevel="1">
      <c r="A218" s="11"/>
      <c r="N218" s="8"/>
      <c r="O218" s="19"/>
      <c r="P218" s="19"/>
      <c r="Q218" s="19"/>
      <c r="R218" s="19"/>
      <c r="S218" s="19"/>
      <c r="T218" s="19"/>
      <c r="U218" s="25"/>
      <c r="V218" s="16"/>
      <c r="W218" s="16"/>
      <c r="X218" s="16"/>
      <c r="Y218" s="15"/>
      <c r="Z218" s="16"/>
      <c r="AA218" s="15"/>
      <c r="AB218" s="16"/>
      <c r="AC218" s="15"/>
      <c r="AD218" s="16"/>
      <c r="AE218" s="15"/>
      <c r="AF218" s="16"/>
      <c r="AG218" s="15"/>
      <c r="AH218" s="16"/>
      <c r="AI218" s="15"/>
    </row>
    <row r="219" spans="1:40" s="14" customFormat="1" ht="15.95" customHeight="1" outlineLevel="1">
      <c r="A219" s="11">
        <v>16</v>
      </c>
      <c r="B219" s="489" t="s">
        <v>304</v>
      </c>
      <c r="M219" s="407">
        <f>'ferme+'!Pkt_Hofplus</f>
        <v>0</v>
      </c>
      <c r="N219" s="8"/>
      <c r="O219" s="19"/>
      <c r="P219" s="19"/>
      <c r="Q219" s="19"/>
      <c r="R219" s="19"/>
      <c r="S219" s="19"/>
      <c r="T219" s="19"/>
      <c r="U219" s="25"/>
      <c r="V219" s="16"/>
      <c r="W219" s="16"/>
      <c r="X219" s="16"/>
      <c r="Y219" s="15"/>
      <c r="Z219" s="16"/>
      <c r="AA219" s="15"/>
      <c r="AB219" s="16"/>
      <c r="AC219" s="15"/>
      <c r="AD219" s="16"/>
      <c r="AE219" s="15"/>
      <c r="AF219" s="16"/>
      <c r="AG219" s="15"/>
      <c r="AH219" s="16"/>
      <c r="AI219" s="15"/>
      <c r="AJ219" s="70"/>
    </row>
    <row r="220" spans="1:40" s="200" customFormat="1" ht="6" customHeight="1" outlineLevel="1">
      <c r="A220" s="199"/>
      <c r="B220" s="281"/>
      <c r="C220" s="206"/>
      <c r="D220" s="206"/>
      <c r="E220" s="206"/>
      <c r="F220" s="206"/>
      <c r="G220" s="206"/>
      <c r="H220" s="206"/>
      <c r="I220" s="206"/>
      <c r="J220" s="206"/>
      <c r="K220" s="206"/>
      <c r="L220" s="206"/>
      <c r="M220" s="206"/>
      <c r="N220" s="206"/>
      <c r="O220" s="224"/>
      <c r="P220" s="224"/>
      <c r="Q220" s="224"/>
      <c r="R220" s="224"/>
      <c r="S220" s="224"/>
      <c r="T220" s="224"/>
      <c r="U220" s="228"/>
      <c r="V220" s="213"/>
      <c r="W220" s="213"/>
      <c r="X220" s="213"/>
      <c r="Y220" s="214"/>
      <c r="Z220" s="213"/>
      <c r="AA220" s="214"/>
      <c r="AB220" s="213"/>
      <c r="AC220" s="214"/>
      <c r="AD220" s="213"/>
      <c r="AE220" s="214"/>
      <c r="AF220" s="213"/>
      <c r="AG220" s="214"/>
      <c r="AH220" s="213"/>
      <c r="AI220" s="214"/>
      <c r="AJ220" s="202"/>
      <c r="AL220" s="184"/>
      <c r="AM220" s="184"/>
      <c r="AN220" s="184"/>
    </row>
    <row r="221" spans="1:40" s="200" customFormat="1" ht="15.95" customHeight="1" outlineLevel="1">
      <c r="A221" s="199">
        <v>17</v>
      </c>
      <c r="B221" s="489" t="s">
        <v>306</v>
      </c>
      <c r="C221" s="231"/>
      <c r="G221" s="241"/>
      <c r="M221" s="246">
        <f>maraîchère!G81</f>
        <v>0</v>
      </c>
      <c r="N221" s="206"/>
      <c r="O221" s="224"/>
      <c r="P221" s="224"/>
      <c r="Q221" s="224"/>
      <c r="R221" s="224"/>
      <c r="S221" s="224"/>
      <c r="T221" s="224"/>
      <c r="U221" s="228"/>
      <c r="V221" s="213"/>
      <c r="W221" s="213"/>
      <c r="X221" s="213"/>
      <c r="Y221" s="214"/>
      <c r="Z221" s="213"/>
      <c r="AA221" s="214"/>
      <c r="AB221" s="213"/>
      <c r="AC221" s="214"/>
      <c r="AD221" s="213"/>
      <c r="AE221" s="214"/>
      <c r="AF221" s="213"/>
      <c r="AG221" s="214"/>
      <c r="AH221" s="213"/>
      <c r="AI221" s="214"/>
      <c r="AK221" s="184"/>
      <c r="AL221" s="184"/>
      <c r="AM221" s="184"/>
      <c r="AN221" s="184"/>
    </row>
    <row r="222" spans="1:40" s="200" customFormat="1" ht="6" customHeight="1" outlineLevel="1">
      <c r="A222" s="206"/>
      <c r="B222" s="281"/>
      <c r="C222" s="206"/>
      <c r="D222" s="206"/>
      <c r="E222" s="206"/>
      <c r="F222" s="206"/>
      <c r="G222" s="206"/>
      <c r="H222" s="206"/>
      <c r="I222" s="206"/>
      <c r="J222" s="206"/>
      <c r="K222" s="206"/>
      <c r="L222" s="206"/>
      <c r="M222" s="206"/>
      <c r="N222" s="206"/>
      <c r="O222" s="224"/>
      <c r="P222" s="224"/>
      <c r="Q222" s="224"/>
      <c r="R222" s="224"/>
      <c r="S222" s="224"/>
      <c r="T222" s="224"/>
      <c r="U222" s="228"/>
      <c r="V222" s="213"/>
      <c r="W222" s="213"/>
      <c r="X222" s="213"/>
      <c r="Y222" s="214"/>
      <c r="Z222" s="213"/>
      <c r="AA222" s="214"/>
      <c r="AB222" s="213"/>
      <c r="AC222" s="214"/>
      <c r="AD222" s="213"/>
      <c r="AE222" s="214"/>
      <c r="AF222" s="213"/>
      <c r="AG222" s="214"/>
      <c r="AH222" s="213"/>
      <c r="AI222" s="214"/>
      <c r="AL222" s="184"/>
      <c r="AM222" s="184"/>
      <c r="AN222" s="184"/>
    </row>
    <row r="223" spans="1:40" s="200" customFormat="1" ht="15.95" customHeight="1" outlineLevel="1">
      <c r="A223" s="199">
        <v>18</v>
      </c>
      <c r="B223" s="489" t="s">
        <v>305</v>
      </c>
      <c r="C223" s="231"/>
      <c r="I223" s="241"/>
      <c r="M223" s="246">
        <f>viticulture!E30</f>
        <v>0</v>
      </c>
      <c r="N223" s="206"/>
      <c r="O223" s="224"/>
      <c r="P223" s="224"/>
      <c r="Q223" s="224"/>
      <c r="R223" s="224"/>
      <c r="S223" s="224"/>
      <c r="T223" s="224"/>
      <c r="U223" s="228"/>
      <c r="V223" s="213"/>
      <c r="W223" s="213"/>
      <c r="X223" s="213"/>
      <c r="Y223" s="214"/>
      <c r="Z223" s="213"/>
      <c r="AA223" s="214"/>
      <c r="AB223" s="213"/>
      <c r="AC223" s="214"/>
      <c r="AD223" s="213"/>
      <c r="AE223" s="214"/>
      <c r="AF223" s="213"/>
      <c r="AG223" s="214"/>
      <c r="AH223" s="213"/>
      <c r="AI223" s="214"/>
      <c r="AK223" s="184"/>
      <c r="AL223" s="184"/>
      <c r="AM223" s="184"/>
      <c r="AN223" s="184"/>
    </row>
    <row r="224" spans="1:40" s="14" customFormat="1" ht="6" customHeight="1" outlineLevel="1">
      <c r="A224" s="11"/>
      <c r="N224" s="8"/>
      <c r="O224" s="19"/>
      <c r="P224" s="19"/>
      <c r="Q224" s="19"/>
      <c r="R224" s="19"/>
      <c r="S224" s="19"/>
      <c r="T224" s="19"/>
      <c r="U224" s="25"/>
      <c r="V224" s="16"/>
      <c r="W224" s="16"/>
      <c r="X224" s="16"/>
      <c r="Y224" s="15"/>
      <c r="Z224" s="16"/>
      <c r="AA224" s="15"/>
      <c r="AB224" s="16"/>
      <c r="AC224" s="15"/>
      <c r="AD224" s="16"/>
      <c r="AE224" s="15"/>
      <c r="AF224" s="16"/>
      <c r="AG224" s="15"/>
      <c r="AH224" s="16"/>
      <c r="AI224" s="15"/>
    </row>
    <row r="225" spans="1:79" ht="20.100000000000001" customHeight="1" outlineLevel="1">
      <c r="A225" s="450" t="s">
        <v>100</v>
      </c>
      <c r="B225" s="451"/>
      <c r="C225" s="450"/>
      <c r="D225" s="451"/>
      <c r="E225" s="451"/>
      <c r="F225" s="451"/>
      <c r="G225" s="451"/>
      <c r="H225" s="451"/>
      <c r="I225" s="451"/>
      <c r="J225" s="451"/>
      <c r="K225" s="451"/>
      <c r="L225" s="451"/>
      <c r="M225" s="451"/>
      <c r="N225" s="452">
        <f>+SUM(M191:M223)</f>
        <v>0</v>
      </c>
      <c r="O225" s="453"/>
      <c r="P225" s="453"/>
      <c r="Q225" s="453"/>
      <c r="R225" s="453"/>
      <c r="S225" s="453"/>
      <c r="T225" s="453"/>
      <c r="U225" s="454"/>
      <c r="V225" s="9"/>
      <c r="W225" s="9"/>
      <c r="X225" s="4"/>
      <c r="Y225" s="4"/>
      <c r="Z225" s="4"/>
      <c r="AA225" s="4"/>
      <c r="AB225" s="4"/>
      <c r="AC225" s="4"/>
      <c r="AD225" s="4"/>
      <c r="AE225" s="4"/>
      <c r="AF225" s="4"/>
      <c r="AG225" s="4"/>
      <c r="AH225" s="4"/>
      <c r="AI225" s="4"/>
      <c r="AJ225" s="8"/>
      <c r="AK225" s="8"/>
      <c r="AL225" s="8"/>
      <c r="AM225" s="8"/>
      <c r="AN225" s="8"/>
      <c r="AO225" s="8"/>
      <c r="AP225" s="8"/>
      <c r="AQ225" s="8"/>
      <c r="AR225" s="8"/>
      <c r="AS225" s="8"/>
      <c r="AT225" s="8"/>
      <c r="AU225" s="8"/>
      <c r="AV225" s="8"/>
      <c r="AW225" s="8"/>
      <c r="AX225" s="8"/>
      <c r="AY225" s="8"/>
      <c r="AZ225" s="8"/>
      <c r="BA225" s="8"/>
      <c r="BB225" s="8"/>
      <c r="BC225" s="8"/>
      <c r="BD225" s="8"/>
      <c r="BE225" s="8"/>
      <c r="BF225" s="8"/>
      <c r="BG225" s="8"/>
      <c r="BH225" s="8"/>
      <c r="BI225" s="8"/>
      <c r="BJ225" s="8"/>
      <c r="BK225" s="8"/>
      <c r="BL225" s="8"/>
      <c r="BM225" s="8"/>
      <c r="BN225" s="8"/>
      <c r="BO225" s="8"/>
      <c r="BP225" s="8"/>
      <c r="BQ225" s="8"/>
      <c r="BR225" s="8"/>
      <c r="BS225" s="8"/>
      <c r="BT225" s="8"/>
      <c r="BU225" s="8"/>
      <c r="BV225" s="8"/>
      <c r="BW225" s="8"/>
      <c r="BX225" s="8"/>
      <c r="BY225" s="8"/>
      <c r="BZ225" s="8"/>
      <c r="CA225" s="8"/>
    </row>
    <row r="226" spans="1:79" ht="6" customHeight="1">
      <c r="N226" s="9"/>
      <c r="R226" s="4"/>
      <c r="S226" s="4"/>
      <c r="T226" s="4"/>
    </row>
    <row r="227" spans="1:79">
      <c r="A227" s="4" t="s">
        <v>99</v>
      </c>
      <c r="C227" s="512"/>
      <c r="D227" s="512"/>
      <c r="E227" s="512"/>
      <c r="F227" s="512"/>
      <c r="G227" s="512"/>
      <c r="H227" s="512"/>
      <c r="I227" s="512"/>
      <c r="J227" s="512"/>
      <c r="K227" s="512"/>
      <c r="L227" s="512"/>
      <c r="M227" s="512"/>
      <c r="N227" s="512"/>
      <c r="O227" s="512"/>
      <c r="P227" s="512"/>
      <c r="Q227" s="512"/>
      <c r="R227" s="512"/>
      <c r="S227" s="512"/>
      <c r="T227" s="512"/>
      <c r="U227" s="512"/>
    </row>
    <row r="228" spans="1:79">
      <c r="A228" s="4"/>
      <c r="C228" s="512"/>
      <c r="D228" s="512"/>
      <c r="E228" s="512"/>
      <c r="F228" s="512"/>
      <c r="G228" s="512"/>
      <c r="H228" s="512"/>
      <c r="I228" s="512"/>
      <c r="J228" s="512"/>
      <c r="K228" s="512"/>
      <c r="L228" s="512"/>
      <c r="M228" s="512"/>
      <c r="N228" s="512"/>
      <c r="O228" s="512"/>
      <c r="P228" s="512"/>
      <c r="Q228" s="512"/>
      <c r="R228" s="512"/>
      <c r="S228" s="512"/>
      <c r="T228" s="512"/>
      <c r="U228" s="512"/>
    </row>
    <row r="229" spans="1:79">
      <c r="C229" s="512"/>
      <c r="D229" s="512"/>
      <c r="E229" s="512"/>
      <c r="F229" s="512"/>
      <c r="G229" s="512"/>
      <c r="H229" s="512"/>
      <c r="I229" s="512"/>
      <c r="J229" s="512"/>
      <c r="K229" s="512"/>
      <c r="L229" s="512"/>
      <c r="M229" s="512"/>
      <c r="N229" s="512"/>
      <c r="O229" s="512"/>
      <c r="P229" s="512"/>
      <c r="Q229" s="512"/>
      <c r="R229" s="512"/>
      <c r="S229" s="512"/>
      <c r="T229" s="512"/>
      <c r="U229" s="512"/>
    </row>
    <row r="230" spans="1:79">
      <c r="C230" s="512"/>
      <c r="D230" s="512"/>
      <c r="E230" s="512"/>
      <c r="F230" s="512"/>
      <c r="G230" s="512"/>
      <c r="H230" s="512"/>
      <c r="I230" s="512"/>
      <c r="J230" s="512"/>
      <c r="K230" s="512"/>
      <c r="L230" s="512"/>
      <c r="M230" s="512"/>
      <c r="N230" s="512"/>
      <c r="O230" s="512"/>
      <c r="P230" s="512"/>
      <c r="Q230" s="512"/>
      <c r="R230" s="512"/>
      <c r="S230" s="512"/>
      <c r="T230" s="512"/>
      <c r="U230" s="512"/>
    </row>
    <row r="231" spans="1:79" ht="6.6" customHeight="1">
      <c r="D231" s="13"/>
      <c r="E231" s="13"/>
      <c r="F231" s="13"/>
      <c r="G231" s="13"/>
      <c r="H231" s="13"/>
      <c r="N231" s="9"/>
    </row>
    <row r="232" spans="1:79" ht="25.15" customHeight="1">
      <c r="A232" s="443" t="s">
        <v>98</v>
      </c>
      <c r="B232" s="444"/>
      <c r="C232" s="444"/>
      <c r="D232" s="444"/>
      <c r="E232" s="445"/>
      <c r="F232" s="445"/>
      <c r="G232" s="445"/>
      <c r="H232" s="445"/>
      <c r="I232" s="444"/>
      <c r="J232" s="444"/>
      <c r="K232" s="444"/>
      <c r="L232" s="444"/>
      <c r="M232" s="446" t="s">
        <v>97</v>
      </c>
      <c r="N232" s="447">
        <f>+N128+N160+N188+N225</f>
        <v>0</v>
      </c>
      <c r="O232" s="448"/>
      <c r="P232" s="449" t="s">
        <v>244</v>
      </c>
      <c r="Q232" s="448"/>
      <c r="R232" s="448"/>
      <c r="S232" s="448"/>
      <c r="T232" s="448"/>
      <c r="U232" s="444"/>
      <c r="V232" s="9"/>
      <c r="W232" s="9"/>
      <c r="X232" s="4"/>
      <c r="Y232" s="4"/>
      <c r="Z232" s="4"/>
      <c r="AA232" s="4"/>
      <c r="AB232" s="4"/>
      <c r="AC232" s="4"/>
      <c r="AD232" s="4"/>
      <c r="AE232" s="4"/>
      <c r="AF232" s="4"/>
      <c r="AG232" s="4"/>
      <c r="AH232" s="4"/>
      <c r="AI232" s="4"/>
      <c r="AJ232" s="4"/>
      <c r="AK232" s="4"/>
      <c r="AL232" s="4"/>
      <c r="AM232" s="4"/>
      <c r="AN232" s="4"/>
      <c r="AO232" s="4"/>
    </row>
    <row r="233" spans="1:79" ht="6.6" customHeight="1"/>
    <row r="234" spans="1:79">
      <c r="A234" s="493" t="s">
        <v>492</v>
      </c>
      <c r="B234" s="493"/>
      <c r="C234" s="493"/>
      <c r="D234" s="493"/>
      <c r="E234" s="493"/>
      <c r="F234" s="493"/>
      <c r="G234" s="493"/>
      <c r="H234" s="493"/>
      <c r="I234" s="493"/>
      <c r="J234" s="493"/>
      <c r="K234" s="493"/>
      <c r="L234" s="493"/>
      <c r="M234" s="493"/>
      <c r="N234" s="493"/>
      <c r="O234" s="493"/>
      <c r="P234" s="493"/>
      <c r="Q234" s="493"/>
      <c r="R234" s="493"/>
      <c r="S234" s="493"/>
      <c r="T234" s="493"/>
      <c r="U234" s="493"/>
    </row>
  </sheetData>
  <sheetProtection sheet="1" objects="1" scenarios="1"/>
  <mergeCells count="76">
    <mergeCell ref="C22:H22"/>
    <mergeCell ref="C18:K18"/>
    <mergeCell ref="B77:F77"/>
    <mergeCell ref="B76:F76"/>
    <mergeCell ref="B66:F66"/>
    <mergeCell ref="B59:F59"/>
    <mergeCell ref="B60:F60"/>
    <mergeCell ref="B61:F61"/>
    <mergeCell ref="D135:L135"/>
    <mergeCell ref="S16:U16"/>
    <mergeCell ref="Q12:U12"/>
    <mergeCell ref="Q14:U14"/>
    <mergeCell ref="B68:F68"/>
    <mergeCell ref="B45:H45"/>
    <mergeCell ref="G55:H55"/>
    <mergeCell ref="C40:H40"/>
    <mergeCell ref="B58:F58"/>
    <mergeCell ref="B64:F64"/>
    <mergeCell ref="B65:F65"/>
    <mergeCell ref="B67:F67"/>
    <mergeCell ref="B73:F73"/>
    <mergeCell ref="B88:F88"/>
    <mergeCell ref="A90:N90"/>
    <mergeCell ref="C134:L134"/>
    <mergeCell ref="C227:U230"/>
    <mergeCell ref="B197:E197"/>
    <mergeCell ref="C205:J205"/>
    <mergeCell ref="C208:J208"/>
    <mergeCell ref="C210:J210"/>
    <mergeCell ref="C136:G136"/>
    <mergeCell ref="D137:L137"/>
    <mergeCell ref="C144:L144"/>
    <mergeCell ref="D143:L143"/>
    <mergeCell ref="C138:L138"/>
    <mergeCell ref="D139:L139"/>
    <mergeCell ref="C140:L140"/>
    <mergeCell ref="D141:L141"/>
    <mergeCell ref="C142:L142"/>
    <mergeCell ref="C180:K180"/>
    <mergeCell ref="D153:L153"/>
    <mergeCell ref="D145:L145"/>
    <mergeCell ref="C146:M146"/>
    <mergeCell ref="D147:L147"/>
    <mergeCell ref="D149:L149"/>
    <mergeCell ref="C152:L152"/>
    <mergeCell ref="C169:N169"/>
    <mergeCell ref="D151:L151"/>
    <mergeCell ref="C150:L150"/>
    <mergeCell ref="C154:L154"/>
    <mergeCell ref="C148:L148"/>
    <mergeCell ref="D155:L155"/>
    <mergeCell ref="B91:F91"/>
    <mergeCell ref="C101:F101"/>
    <mergeCell ref="C102:F102"/>
    <mergeCell ref="B62:F62"/>
    <mergeCell ref="B63:F63"/>
    <mergeCell ref="B69:F69"/>
    <mergeCell ref="B70:F70"/>
    <mergeCell ref="B71:F71"/>
    <mergeCell ref="B72:F72"/>
    <mergeCell ref="A234:U234"/>
    <mergeCell ref="A8:U8"/>
    <mergeCell ref="Q30:U30"/>
    <mergeCell ref="Q26:R26"/>
    <mergeCell ref="Q28:U28"/>
    <mergeCell ref="C14:H14"/>
    <mergeCell ref="C15:H15"/>
    <mergeCell ref="B29:M29"/>
    <mergeCell ref="C16:H16"/>
    <mergeCell ref="C26:H26"/>
    <mergeCell ref="C27:H27"/>
    <mergeCell ref="C28:H28"/>
    <mergeCell ref="D17:H17"/>
    <mergeCell ref="C21:H21"/>
    <mergeCell ref="C23:H23"/>
    <mergeCell ref="I55:J55"/>
  </mergeCells>
  <dataValidations count="49">
    <dataValidation type="decimal" operator="greaterThanOrEqual" showInputMessage="1" showErrorMessage="1" errorTitle="valeur invalide" error="doit être inférieure à prairies permanaentes + terres ouvertes + prairies artificielles" sqref="B13" xr:uid="{D8505A30-96D6-4778-831C-5F770AA7327C}">
      <formula1>K16</formula1>
    </dataValidation>
    <dataValidation type="decimal" operator="lessThanOrEqual" allowBlank="1" showInputMessage="1" showErrorMessage="1" errorTitle="valeur invalide" error="La surface ne doit pas être plus grande que celle des terres ouvertes" sqref="G61:G65" xr:uid="{C97B9CC9-3FA8-4266-921D-46980D22CD77}">
      <formula1>offene_Ackerfläche</formula1>
    </dataValidation>
    <dataValidation type="decimal" operator="lessThanOrEqual" allowBlank="1" showErrorMessage="1" errorTitle="valeur invalide" error="La surface doit être inférieure à la surface des bandes fleuries pour pollinisatuers annoncées !" promptTitle="Wert zu gross" prompt="Darf höchstens den Betrag der angemeldeten Nützlingsstreifen betragen" sqref="I66" xr:uid="{56481F95-0129-42F2-AE1B-08A4444E9A4A}">
      <formula1>G65</formula1>
    </dataValidation>
    <dataValidation type="decimal" operator="lessThanOrEqual" allowBlank="1" showInputMessage="1" showErrorMessage="1" errorTitle="ungültiger Wert" error="Fläche muss kleiner sein als die angemeldete Fläche!" sqref="K66" xr:uid="{BEF2B5AB-8B82-48A0-8841-58F8CC849014}">
      <formula1>G65</formula1>
    </dataValidation>
    <dataValidation type="decimal" operator="lessThanOrEqual" allowBlank="1" showInputMessage="1" showErrorMessage="1" errorTitle="ungültiger Wert" error="La surface ne doit pas être plus grande que celle des terres ouvertes!" sqref="B136" xr:uid="{C7A2DAF7-F05E-43BE-9C09-C7DA76486584}">
      <formula1>offene_Ackerfläche</formula1>
    </dataValidation>
    <dataValidation type="whole" operator="greaterThan" allowBlank="1" showInputMessage="1" showErrorMessage="1" errorTitle="ungültiger Wert" error="darf nicht älter als 7 Jahre sein" sqref="I199" xr:uid="{F83DA048-0841-405B-87A7-59E0081F3061}">
      <formula1>C199-8</formula1>
    </dataValidation>
    <dataValidation type="whole" operator="greaterThan" allowBlank="1" showInputMessage="1" showErrorMessage="1" errorTitle="ungültiger Wert" error="darf nicht älter als 7 Jahre sein" sqref="E200:E202 I200:I202" xr:uid="{190B5258-C424-4BA3-9ACA-2D63C4E7DA34}">
      <formula1>C199 -8</formula1>
    </dataValidation>
    <dataValidation type="whole" operator="greaterThan" allowBlank="1" showInputMessage="1" showErrorMessage="1" errorTitle="ungültiger Wert" error="darf nicht älter als 7 Jahre sein" sqref="E199" xr:uid="{26062472-EF1B-426C-8368-B648DB2D2206}">
      <formula1>C199 - 8</formula1>
    </dataValidation>
    <dataValidation type="decimal" operator="lessThanOrEqual" allowBlank="1" showInputMessage="1" showErrorMessage="1" errorTitle="valeur invalide" error="La surface ne doit pas être plus grande que les prairies permanentes !" sqref="G70" xr:uid="{5991E863-0D8A-499F-9942-8522A7A12FE0}">
      <formula1>DGL</formula1>
    </dataValidation>
    <dataValidation type="decimal" operator="lessThanOrEqual" allowBlank="1" showInputMessage="1" showErrorMessage="1" errorTitle="valeur invalide" error="La surface ne doit pas être plus grande que les &quot;autres surfaces&quot; (B18) !" sqref="G69" xr:uid="{B5002C3C-5288-4813-B297-3E2F13C6803C}">
      <formula1>übrige_Fläche</formula1>
    </dataValidation>
    <dataValidation type="decimal" operator="lessThan" allowBlank="1" showInputMessage="1" showErrorMessage="1" errorTitle="valeur invalide" error="La surface ne doit pas être plus grande que la SAU !" sqref="G67" xr:uid="{92ACF2E1-4878-491F-BA54-D0EB25088BF5}">
      <formula1>LN</formula1>
    </dataValidation>
    <dataValidation type="decimal" showInputMessage="1" showErrorMessage="1" errorTitle="ungültiger Wert" error="Maximal 3 Punkte nach Absprache mit Gutachter einsetzen!" sqref="M217 M219 M221 M223" xr:uid="{7EDABD06-E21D-4022-A6DD-BB8FF9B38358}">
      <formula1>0</formula1>
      <formula2>3</formula2>
    </dataValidation>
    <dataValidation type="decimal" operator="lessThanOrEqual" allowBlank="1" showInputMessage="1" showErrorMessage="1" errorTitle="valeur invalide" error="La surface avec diversité des structures ne doit pas être plus grande que la surface total !" sqref="K58:K60 K68:K71" xr:uid="{644A1B14-893B-4153-86DB-BBC9F2927BE3}">
      <formula1>G58</formula1>
    </dataValidation>
    <dataValidation type="decimal" operator="lessThanOrEqual" allowBlank="1" showInputMessage="1" showErrorMessage="1" errorTitle="falscher Wert" error="Wert darf höchsten so gross sein wie Dauergrünland+Streueflächen" sqref="H58:H60" xr:uid="{9DC4040E-C413-4DC0-9D1A-72E8A7E51DA1}">
      <formula1>D15</formula1>
    </dataValidation>
    <dataValidation type="whole" operator="lessThanOrEqual" allowBlank="1" showInputMessage="1" showErrorMessage="1" errorTitle="valeur invalide" error="Le nombre des arbres avec qualité ne doit pas être plus grande que le nombre des arbres annoncées !" sqref="I73" xr:uid="{284C7E04-C282-43B7-97B0-BC66C87B663C}">
      <formula1>G73</formula1>
    </dataValidation>
    <dataValidation type="decimal" operator="lessThanOrEqual" allowBlank="1" showInputMessage="1" showErrorMessage="1" errorTitle="valeur invalide" error="La surface avec qualité ne doit pas être plus grande que la surface total !" sqref="I71 I58:I60 I68" xr:uid="{614154C2-465E-40C9-9D6F-49B448509C65}">
      <formula1>G58</formula1>
    </dataValidation>
    <dataValidation type="decimal" operator="lessThanOrEqual" allowBlank="1" showInputMessage="1" showErrorMessage="1" errorTitle="valeur invalide" error="La surface ne doit pas dépasser celle des prairies permanentes !" sqref="G60" xr:uid="{82BF7B6E-2AE5-4453-BF9F-38C8662176B8}">
      <formula1>B14</formula1>
    </dataValidation>
    <dataValidation type="decimal" operator="lessThanOrEqual" allowBlank="1" showInputMessage="1" showErrorMessage="1" errorTitle="valeur invalide" error="La surface ne doit pas dépasser celle des prairies permanentes !_x000a_" sqref="G59" xr:uid="{DE26B077-A569-4135-8AC1-11C6156420C9}">
      <formula1>B14</formula1>
    </dataValidation>
    <dataValidation type="decimal" operator="lessThanOrEqual" allowBlank="1" showInputMessage="1" showErrorMessage="1" errorTitle="valeur invalide" error="La surface ne doit pas dépasser celle des prairies permanentes !" sqref="G58" xr:uid="{89707654-E76B-48CC-8777-E0312D5BF99C}">
      <formula1>B14</formula1>
    </dataValidation>
    <dataValidation type="decimal" operator="lessThanOrEqual" allowBlank="1" showInputMessage="1" showErrorMessage="1" errorTitle="valeur invalide" error="La surface ne doit pas être plus grande que la SAU !" sqref="G72 G68" xr:uid="{2AD1FF8F-7342-41B1-91F7-5204EF712BF4}">
      <formula1>LN</formula1>
    </dataValidation>
    <dataValidation type="whole" allowBlank="1" showInputMessage="1" showErrorMessage="1" errorTitle="valeur invalide" error="Veuillez entrer un nombre entier !" sqref="G73" xr:uid="{284C354A-016B-457C-A77B-4D7A0542C011}">
      <formula1>0</formula1>
      <formula2>9999</formula2>
    </dataValidation>
    <dataValidation type="decimal" operator="lessThanOrEqual" allowBlank="1" showInputMessage="1" showErrorMessage="1" errorTitle="falscher Wert" error="Wert muss kleiner sein als die Summe der angemeldeten und nicht angemeldeten Buntbrachen" sqref="K65" xr:uid="{9CCA0227-07ED-40F5-9264-E97483CBB6E0}">
      <formula1>I65+#REF!</formula1>
    </dataValidation>
    <dataValidation type="decimal" operator="lessThanOrEqual" allowBlank="1" showInputMessage="1" showErrorMessage="1" errorTitle="valeur invalide" error="La surface ne doit pas dépasser celle des prairies extensives et peu intensives, des prairies riveraines et des surfaces à litière !" sqref="B169" xr:uid="{A8D0BDE8-7B19-40A9-B92E-93182C690B63}">
      <formula1>SUM(G58:G59, G69:G70)</formula1>
    </dataValidation>
    <dataValidation type="decimal" operator="lessThanOrEqual" allowBlank="1" showInputMessage="1" showErrorMessage="1" errorTitle="valeur invalide" error="La surface ne doit pas dépasser celle des prairies extensives et peu intensives, des prairies riveraines et des surfaces à litière !" sqref="B167" xr:uid="{D7A740CC-21A3-4FA3-ADA1-AA11CF37A225}">
      <formula1>SUM(G58:G59,G69:G70)</formula1>
    </dataValidation>
    <dataValidation type="decimal" operator="lessThanOrEqual" allowBlank="1" showInputMessage="1" showErrorMessage="1" errorTitle="valeur invalide" error="La surface ne doit pas dépasser celle des prairies extensives et peu intensives, des prairies riveraines et des surfaces à litière !" sqref="B165" xr:uid="{3F298B08-8AED-4027-B82E-07EF91A1F5AA}">
      <formula1>SUM(G58:G59,G69:G70)</formula1>
    </dataValidation>
    <dataValidation type="decimal" operator="lessThanOrEqual" allowBlank="1" showInputMessage="1" showErrorMessage="1" errorTitle="valeur invalide" error="La surface ne doit pas dépasser celle des prairies extensives et peu intensives et des pâturages extensifs ou boisés !" sqref="B171" xr:uid="{0DE5C306-CC8A-41F6-8682-4ECA5D433E22}">
      <formula1>SUM(F58:G60)</formula1>
    </dataValidation>
    <dataValidation type="whole" allowBlank="1" showInputMessage="1" showErrorMessage="1" sqref="B212" xr:uid="{50DE66B0-E3FF-4B3F-A810-84E131CAEAF8}">
      <formula1>0</formula1>
      <formula2>1000</formula2>
    </dataValidation>
    <dataValidation operator="lessThanOrEqual" allowBlank="1" showInputMessage="1" showErrorMessage="1" errorTitle="ungültiger Wert" error="Fläche darf nicht grösser als LN abzüglich Dauergrünland und offener Ackerfläche sein!" sqref="B18" xr:uid="{F13154B4-8604-44A9-B18C-6DBD9EFD4844}"/>
    <dataValidation type="decimal" operator="lessThanOrEqual" allowBlank="1" showInputMessage="1" showErrorMessage="1" errorTitle="ungültiger Wert" error="Fläche darf nicht grösser sein als offene Ackerfläche!" sqref="B150 B154" xr:uid="{BDC0EC90-8F01-4815-B9D1-0B2212691A62}">
      <formula1>offene_Ackerfläche</formula1>
    </dataValidation>
    <dataValidation type="whole" operator="greaterThanOrEqual" allowBlank="1" showInputMessage="1" showErrorMessage="1" errorTitle="valeur infalide" error="Veuillez entrer un nombre entier!" sqref="B119" xr:uid="{E8C98000-AB34-4DE9-902E-979C5A41D97A}">
      <formula1>0</formula1>
    </dataValidation>
    <dataValidation type="decimal" operator="lessThanOrEqual" allowBlank="1" showInputMessage="1" showErrorMessage="1" errorTitle="valeur invalide" error="La surface ne doit pas être plus grande que celle des terres ouvertes!" sqref="B144 B146 B152 B134 B138 B140 B142 B148" xr:uid="{3E914B05-1107-42D6-8D55-93CC2DD85999}">
      <formula1>offene_Ackerfläche</formula1>
    </dataValidation>
    <dataValidation type="whole" allowBlank="1" showInputMessage="1" errorTitle="ungültiger Wert" error="Bitte ganze Zahl eingeben!_x000a_" sqref="B50" xr:uid="{2538F7F3-074F-4E42-950C-7EFBFB4DB54A}">
      <formula1>1</formula1>
      <formula2>99</formula2>
    </dataValidation>
    <dataValidation type="decimal" operator="lessThanOrEqual" allowBlank="1" showInputMessage="1" errorTitle="ungültiger Wert" error="Fläche darf höchstens so gross sein wie die Gesamtfläche des ökologischen Ausgleichs!" sqref="B115" xr:uid="{60D0D949-C020-4D75-A97B-01E4620A5358}">
      <formula1>öAF_ohne_Bäume</formula1>
    </dataValidation>
    <dataValidation type="decimal" operator="lessThanOrEqual" allowBlank="1" showInputMessage="1" showErrorMessage="1" errorTitle="valeur invalide" error="La surface ne doit pas être plus grande que la SAU !_x000a_" sqref="B193" xr:uid="{532F16E1-6D6D-4935-BE7D-A66FEC30E996}">
      <formula1>LN</formula1>
    </dataValidation>
    <dataValidation type="decimal" operator="lessThanOrEqual" allowBlank="1" showInputMessage="1" showErrorMessage="1" errorTitle="valeur invalide" error="La surface ne doit pas dépasser la surface totale des SCE, arbres compris (5.13)!" sqref="B100:B102" xr:uid="{3FB2B2C0-C92B-4EB1-98F4-872CB0785E3B}">
      <formula1>öAF_mit_Bäumen</formula1>
    </dataValidation>
    <dataValidation type="decimal" operator="lessThanOrEqual" allowBlank="1" showInputMessage="1" showErrorMessage="1" errorTitle="valeur invalide" error="La surface ne doit pas être plus grande que la SAU!" sqref="B27:B28 G71" xr:uid="{34BAA427-4280-493F-A25C-866E3F776D79}">
      <formula1>LN</formula1>
    </dataValidation>
    <dataValidation type="decimal" operator="lessThanOrEqual" allowBlank="1" showInputMessage="1" showErrorMessage="1" errorTitle="valeur invalide" error="La somme des points 1.1.1 à 1.1.3 ne doit pas dépasser la SAU" sqref="B14" xr:uid="{92B6967E-1BA4-454B-AF4C-3221FC35F184}">
      <formula1>B13-SUM(B15,B16)</formula1>
    </dataValidation>
    <dataValidation type="decimal" operator="lessThanOrEqual" allowBlank="1" showInputMessage="1" showErrorMessage="1" errorTitle="falscher Wert" error="Wert darf nicht grösser sein als Dauergrünland + Extensivweide - öAF auf Dauergrünland_x000a__x000a_" sqref="B182" xr:uid="{3FEEC2B6-97C4-401E-93F3-96D7880F233D}">
      <formula1>B175</formula1>
    </dataValidation>
    <dataValidation operator="lessThanOrEqual" allowBlank="1" showInputMessage="1" showErrorMessage="1" errorTitle="ungültiger Wert" sqref="I97 B208 B210 K199:K202 G199:G202" xr:uid="{996E6DB7-1A55-4A3A-933F-70D21ECFF3CE}"/>
    <dataValidation type="decimal" operator="lessThanOrEqual" allowBlank="1" showInputMessage="1" showErrorMessage="1" errorTitle="valeur invalide" error="La somme des points 1.1.1 à 1.1.3 ne doit pas dépasser la SAU" sqref="B16" xr:uid="{2A83DEA7-850F-45DB-B715-CCA9BFEB5066}">
      <formula1>B13-SUM(B14,B15)</formula1>
    </dataValidation>
    <dataValidation type="decimal" operator="lessThanOrEqual" allowBlank="1" showInputMessage="1" showErrorMessage="1" errorTitle="valeur invalide" error="La somme des points 1.1.1 à 1.1.3 ne doit pas dépasser la SAU" sqref="B15" xr:uid="{F9901ECC-40EE-4667-8424-5806B1EC22FC}">
      <formula1>B13-SUM(B14,B16)</formula1>
    </dataValidation>
    <dataValidation type="decimal" operator="lessThanOrEqual" allowBlank="1" showInputMessage="1" showErrorMessage="1" errorTitle="valeur invalide" error="La surface doit être plus petite que celles des prairies intensives permanentes!" sqref="B178" xr:uid="{560C30AF-ADF1-4571-AEC9-8808620859A9}">
      <formula1>B175</formula1>
    </dataValidation>
    <dataValidation type="decimal" operator="lessThanOrEqual" allowBlank="1" showInputMessage="1" showErrorMessage="1" errorTitle="valeur invalide" error="La surface ne doit pas être plus grande que celle des terres assolées!" sqref="I70" xr:uid="{F5980B68-939A-4F4C-99BD-0B115C2426AB}">
      <formula1>Ackerfläche</formula1>
    </dataValidation>
    <dataValidation type="decimal" operator="lessThanOrEqual" allowBlank="1" showInputMessage="1" showErrorMessage="1" errorTitle="valeur invalide" error="La surface doit être plus petite que celles des prairies intensives permanentes!" sqref="B176" xr:uid="{272AE393-FFE6-428C-9057-0639FD82B467}">
      <formula1>B175</formula1>
    </dataValidation>
    <dataValidation operator="lessThanOrEqual" allowBlank="1" showInputMessage="1" showErrorMessage="1" errorTitle="ungültiger Wert" error="der Wert darf höchstens so gross sein wie die Gesamtfläche des ökologischen Ausgleichs" sqref="B207 B204 B196:B197" xr:uid="{A6849223-F3F7-4955-8F0C-3AECA1C91C45}"/>
    <dataValidation type="whole" allowBlank="1" showInputMessage="1" showErrorMessage="1" errorTitle="valeur invalide" error="Veuillez entrer un nombre entier!" sqref="B40" xr:uid="{5C43EDAA-02E8-4F46-BE37-48D82720D924}">
      <formula1>1</formula1>
      <formula2>999</formula2>
    </dataValidation>
    <dataValidation operator="lessThanOrEqual" allowBlank="1" showInputMessage="1" showErrorMessage="1" errorTitle="ungültiger Wert" error="Summe von 1.1.1 bis 1.1.5 darf nicht grösser sien als LN" sqref="B22" xr:uid="{9F9E8876-5540-437F-BDB0-13263AE4B6EE}"/>
    <dataValidation type="whole" operator="lessThanOrEqual" allowBlank="1" showInputMessage="1" showErrorMessage="1" errorTitle="ungültiger Wert" error="le nombre de surfaces &gt; 25a ne doit pas dépasser la surface totale des SCE avec qualité mentionnée sous la rubrique 5.17" sqref="B105" xr:uid="{7B542B87-D8BD-4D88-BD5D-BACBD717FF30}">
      <formula1>+SUM(I58:K69)/0.25</formula1>
    </dataValidation>
    <dataValidation type="decimal" operator="lessThanOrEqual" allowBlank="1" showInputMessage="1" showErrorMessage="1" errorTitle="ungültiger Wert" error="La surface doit être plus petite que celles des prairies intensives permanentes!" sqref="B180" xr:uid="{DF6191FD-D4DE-4CEF-B0CE-D875BFE82D18}">
      <formula1>B175</formula1>
    </dataValidation>
  </dataValidations>
  <pageMargins left="0.39370078740157483" right="0.27559055118110237" top="0.39370078740157483" bottom="0.35433070866141736" header="0.19685039370078741" footer="0.15748031496062992"/>
  <pageSetup paperSize="9" scale="54" fitToHeight="0" orientation="portrait" r:id="rId1"/>
  <headerFooter alignWithMargins="0">
    <oddFooter>&amp;Cpage &amp;P</oddFooter>
  </headerFooter>
  <rowBreaks count="1" manualBreakCount="1">
    <brk id="128"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6183" r:id="rId4" name="Check Box 39">
              <controlPr locked="0" defaultSize="0" autoFill="0" autoLine="0" autoPict="0">
                <anchor moveWithCells="1">
                  <from>
                    <xdr:col>1</xdr:col>
                    <xdr:colOff>47625</xdr:colOff>
                    <xdr:row>46</xdr:row>
                    <xdr:rowOff>104775</xdr:rowOff>
                  </from>
                  <to>
                    <xdr:col>2</xdr:col>
                    <xdr:colOff>457200</xdr:colOff>
                    <xdr:row>47</xdr:row>
                    <xdr:rowOff>114300</xdr:rowOff>
                  </to>
                </anchor>
              </controlPr>
            </control>
          </mc:Choice>
        </mc:AlternateContent>
        <mc:AlternateContent xmlns:mc="http://schemas.openxmlformats.org/markup-compatibility/2006">
          <mc:Choice Requires="x14">
            <control shapeId="6184" r:id="rId5" name="Check Box 40">
              <controlPr locked="0" defaultSize="0" autoFill="0" autoLine="0" autoPict="0">
                <anchor moveWithCells="1">
                  <from>
                    <xdr:col>4</xdr:col>
                    <xdr:colOff>47625</xdr:colOff>
                    <xdr:row>46</xdr:row>
                    <xdr:rowOff>104775</xdr:rowOff>
                  </from>
                  <to>
                    <xdr:col>8</xdr:col>
                    <xdr:colOff>123825</xdr:colOff>
                    <xdr:row>47</xdr:row>
                    <xdr:rowOff>123825</xdr:rowOff>
                  </to>
                </anchor>
              </controlPr>
            </control>
          </mc:Choice>
        </mc:AlternateContent>
        <mc:AlternateContent xmlns:mc="http://schemas.openxmlformats.org/markup-compatibility/2006">
          <mc:Choice Requires="x14">
            <control shapeId="6185" r:id="rId6" name="Check Box 41">
              <controlPr locked="0" defaultSize="0" autoFill="0" autoLine="0" autoPict="0">
                <anchor moveWithCells="1">
                  <from>
                    <xdr:col>1</xdr:col>
                    <xdr:colOff>47625</xdr:colOff>
                    <xdr:row>47</xdr:row>
                    <xdr:rowOff>38100</xdr:rowOff>
                  </from>
                  <to>
                    <xdr:col>1</xdr:col>
                    <xdr:colOff>638175</xdr:colOff>
                    <xdr:row>48</xdr:row>
                    <xdr:rowOff>47625</xdr:rowOff>
                  </to>
                </anchor>
              </controlPr>
            </control>
          </mc:Choice>
        </mc:AlternateContent>
        <mc:AlternateContent xmlns:mc="http://schemas.openxmlformats.org/markup-compatibility/2006">
          <mc:Choice Requires="x14">
            <control shapeId="6186" r:id="rId7" name="Check Box 42">
              <controlPr locked="0" defaultSize="0" autoFill="0" autoLine="0" autoPict="0" altText="Rebbau">
                <anchor moveWithCells="1">
                  <from>
                    <xdr:col>8</xdr:col>
                    <xdr:colOff>342900</xdr:colOff>
                    <xdr:row>47</xdr:row>
                    <xdr:rowOff>38100</xdr:rowOff>
                  </from>
                  <to>
                    <xdr:col>10</xdr:col>
                    <xdr:colOff>361950</xdr:colOff>
                    <xdr:row>48</xdr:row>
                    <xdr:rowOff>47625</xdr:rowOff>
                  </to>
                </anchor>
              </controlPr>
            </control>
          </mc:Choice>
        </mc:AlternateContent>
        <mc:AlternateContent xmlns:mc="http://schemas.openxmlformats.org/markup-compatibility/2006">
          <mc:Choice Requires="x14">
            <control shapeId="6187" r:id="rId8" name="Check Box 43">
              <controlPr locked="0" defaultSize="0" autoFill="0" autoLine="0" autoPict="0">
                <anchor moveWithCells="1">
                  <from>
                    <xdr:col>4</xdr:col>
                    <xdr:colOff>47625</xdr:colOff>
                    <xdr:row>48</xdr:row>
                    <xdr:rowOff>28575</xdr:rowOff>
                  </from>
                  <to>
                    <xdr:col>8</xdr:col>
                    <xdr:colOff>257175</xdr:colOff>
                    <xdr:row>49</xdr:row>
                    <xdr:rowOff>57150</xdr:rowOff>
                  </to>
                </anchor>
              </controlPr>
            </control>
          </mc:Choice>
        </mc:AlternateContent>
        <mc:AlternateContent xmlns:mc="http://schemas.openxmlformats.org/markup-compatibility/2006">
          <mc:Choice Requires="x14">
            <control shapeId="6188" r:id="rId9" name="Check Box 44">
              <controlPr locked="0" defaultSize="0" autoFill="0" autoLine="0" autoPict="0">
                <anchor moveWithCells="1">
                  <from>
                    <xdr:col>8</xdr:col>
                    <xdr:colOff>342900</xdr:colOff>
                    <xdr:row>46</xdr:row>
                    <xdr:rowOff>104775</xdr:rowOff>
                  </from>
                  <to>
                    <xdr:col>10</xdr:col>
                    <xdr:colOff>457200</xdr:colOff>
                    <xdr:row>47</xdr:row>
                    <xdr:rowOff>114300</xdr:rowOff>
                  </to>
                </anchor>
              </controlPr>
            </control>
          </mc:Choice>
        </mc:AlternateContent>
        <mc:AlternateContent xmlns:mc="http://schemas.openxmlformats.org/markup-compatibility/2006">
          <mc:Choice Requires="x14">
            <control shapeId="6189" r:id="rId10" name="Check Box 45">
              <controlPr locked="0" defaultSize="0" autoFill="0" autoLine="0" autoPict="0">
                <anchor moveWithCells="1">
                  <from>
                    <xdr:col>4</xdr:col>
                    <xdr:colOff>47625</xdr:colOff>
                    <xdr:row>47</xdr:row>
                    <xdr:rowOff>38100</xdr:rowOff>
                  </from>
                  <to>
                    <xdr:col>8</xdr:col>
                    <xdr:colOff>228600</xdr:colOff>
                    <xdr:row>48</xdr:row>
                    <xdr:rowOff>57150</xdr:rowOff>
                  </to>
                </anchor>
              </controlPr>
            </control>
          </mc:Choice>
        </mc:AlternateContent>
        <mc:AlternateContent xmlns:mc="http://schemas.openxmlformats.org/markup-compatibility/2006">
          <mc:Choice Requires="x14">
            <control shapeId="6190" r:id="rId11" name="Check Box 46">
              <controlPr locked="0" defaultSize="0" autoFill="0" autoLine="0" autoPict="0" altText="Gemüsebau">
                <anchor moveWithCells="1">
                  <from>
                    <xdr:col>1</xdr:col>
                    <xdr:colOff>47625</xdr:colOff>
                    <xdr:row>48</xdr:row>
                    <xdr:rowOff>38100</xdr:rowOff>
                  </from>
                  <to>
                    <xdr:col>2</xdr:col>
                    <xdr:colOff>409575</xdr:colOff>
                    <xdr:row>49</xdr:row>
                    <xdr:rowOff>47625</xdr:rowOff>
                  </to>
                </anchor>
              </controlPr>
            </control>
          </mc:Choice>
        </mc:AlternateContent>
        <mc:AlternateContent xmlns:mc="http://schemas.openxmlformats.org/markup-compatibility/2006">
          <mc:Choice Requires="x14">
            <control shapeId="6191" r:id="rId12" name="Check Box 47">
              <controlPr locked="0" defaultSize="0" autoFill="0" autoLine="0" autoPict="0" altText="Gemüsebau">
                <anchor moveWithCells="1">
                  <from>
                    <xdr:col>8</xdr:col>
                    <xdr:colOff>333375</xdr:colOff>
                    <xdr:row>48</xdr:row>
                    <xdr:rowOff>38100</xdr:rowOff>
                  </from>
                  <to>
                    <xdr:col>12</xdr:col>
                    <xdr:colOff>257175</xdr:colOff>
                    <xdr:row>49</xdr:row>
                    <xdr:rowOff>57150</xdr:rowOff>
                  </to>
                </anchor>
              </controlPr>
            </control>
          </mc:Choice>
        </mc:AlternateContent>
        <mc:AlternateContent xmlns:mc="http://schemas.openxmlformats.org/markup-compatibility/2006">
          <mc:Choice Requires="x14">
            <control shapeId="6192" r:id="rId13" name="Check Box 48">
              <controlPr locked="0" defaultSize="0" autoFill="0" autoLine="0" autoPict="0">
                <anchor moveWithCells="1">
                  <from>
                    <xdr:col>1</xdr:col>
                    <xdr:colOff>209550</xdr:colOff>
                    <xdr:row>204</xdr:row>
                    <xdr:rowOff>0</xdr:rowOff>
                  </from>
                  <to>
                    <xdr:col>1</xdr:col>
                    <xdr:colOff>514350</xdr:colOff>
                    <xdr:row>205</xdr:row>
                    <xdr:rowOff>9525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1A10DA-4EB3-49C1-AE38-26284540F979}">
  <sheetPr>
    <tabColor theme="6" tint="0.79998168889431442"/>
    <pageSetUpPr fitToPage="1"/>
  </sheetPr>
  <dimension ref="A1:U103"/>
  <sheetViews>
    <sheetView zoomScale="140" zoomScaleNormal="140" workbookViewId="0">
      <selection activeCell="B3" sqref="B3"/>
    </sheetView>
  </sheetViews>
  <sheetFormatPr baseColWidth="10" defaultColWidth="5" defaultRowHeight="16.5" zeroHeight="1"/>
  <cols>
    <col min="1" max="1" width="6.5703125" style="333" customWidth="1"/>
    <col min="2" max="2" width="11.28515625" style="333" customWidth="1"/>
    <col min="3" max="3" width="8.28515625" style="333" customWidth="1"/>
    <col min="4" max="4" width="55.85546875" style="333" customWidth="1"/>
    <col min="5" max="5" width="55.28515625" style="333" customWidth="1"/>
    <col min="6" max="6" width="6.85546875" style="333" customWidth="1"/>
    <col min="7" max="7" width="12" style="333" customWidth="1"/>
    <col min="8" max="16384" width="5" style="333"/>
  </cols>
  <sheetData>
    <row r="1" spans="1:9" s="394" customFormat="1" ht="24.95" customHeight="1">
      <c r="A1" s="392" t="s">
        <v>311</v>
      </c>
      <c r="B1" s="392"/>
      <c r="C1" s="392"/>
      <c r="D1" s="383" t="s">
        <v>423</v>
      </c>
      <c r="E1" s="384" t="str">
        <f xml:space="preserve"> " " &amp; Pkt_Hofplus</f>
        <v xml:space="preserve"> 0</v>
      </c>
      <c r="F1" s="277">
        <f>+SUM(B3:C55)</f>
        <v>0</v>
      </c>
      <c r="G1" s="393"/>
    </row>
    <row r="2" spans="1:9" ht="6" customHeight="1">
      <c r="G2" s="332"/>
      <c r="H2" s="332"/>
      <c r="I2" s="183"/>
    </row>
    <row r="3" spans="1:9" ht="14.65" customHeight="1">
      <c r="B3" s="254">
        <v>0</v>
      </c>
      <c r="D3" s="333" t="s">
        <v>312</v>
      </c>
      <c r="G3" s="332"/>
      <c r="H3" s="332"/>
      <c r="I3" s="183"/>
    </row>
    <row r="4" spans="1:9" ht="6" customHeight="1">
      <c r="F4" s="332"/>
      <c r="G4" s="332"/>
      <c r="H4" s="332"/>
      <c r="I4" s="183"/>
    </row>
    <row r="5" spans="1:9" ht="34.5" customHeight="1">
      <c r="A5" s="183" t="s">
        <v>89</v>
      </c>
      <c r="B5" s="286" t="s">
        <v>316</v>
      </c>
      <c r="C5" s="334" t="s">
        <v>313</v>
      </c>
      <c r="D5" s="183" t="s">
        <v>314</v>
      </c>
      <c r="E5" s="183" t="s">
        <v>315</v>
      </c>
      <c r="H5" s="332"/>
      <c r="I5" s="183"/>
    </row>
    <row r="6" spans="1:9" ht="14.65" customHeight="1">
      <c r="A6" s="183"/>
      <c r="B6" s="308" t="s">
        <v>318</v>
      </c>
      <c r="C6" s="183"/>
      <c r="D6" s="183"/>
      <c r="E6" s="183"/>
      <c r="F6" s="286"/>
      <c r="G6" s="334"/>
      <c r="H6" s="332"/>
      <c r="I6" s="183"/>
    </row>
    <row r="7" spans="1:9" s="183" customFormat="1">
      <c r="A7" s="437"/>
      <c r="B7" s="437"/>
      <c r="C7" s="437"/>
      <c r="D7" s="438" t="s">
        <v>316</v>
      </c>
      <c r="E7" s="433"/>
      <c r="F7" s="439"/>
    </row>
    <row r="8" spans="1:9" s="184" customFormat="1">
      <c r="A8" s="335" t="s">
        <v>59</v>
      </c>
      <c r="B8" s="336">
        <v>0</v>
      </c>
      <c r="C8" s="337"/>
      <c r="D8" s="280" t="s">
        <v>317</v>
      </c>
      <c r="E8" s="338"/>
      <c r="G8" s="202"/>
      <c r="H8" s="183"/>
    </row>
    <row r="9" spans="1:9" s="184" customFormat="1">
      <c r="A9" s="335" t="s">
        <v>20</v>
      </c>
      <c r="B9" s="336">
        <v>0</v>
      </c>
      <c r="C9" s="337"/>
      <c r="D9" s="280" t="s">
        <v>319</v>
      </c>
      <c r="E9" s="327"/>
      <c r="G9" s="202"/>
      <c r="H9" s="183"/>
    </row>
    <row r="10" spans="1:9" s="184" customFormat="1">
      <c r="A10" s="335" t="s">
        <v>88</v>
      </c>
      <c r="B10" s="336">
        <v>0</v>
      </c>
      <c r="C10" s="337"/>
      <c r="D10" s="280" t="s">
        <v>320</v>
      </c>
      <c r="E10" s="327"/>
      <c r="G10" s="202"/>
      <c r="H10" s="183"/>
    </row>
    <row r="11" spans="1:9" s="184" customFormat="1" ht="6" customHeight="1">
      <c r="A11" s="339"/>
      <c r="B11" s="339"/>
      <c r="C11" s="339"/>
      <c r="F11" s="340"/>
      <c r="G11" s="202"/>
      <c r="H11" s="183"/>
    </row>
    <row r="12" spans="1:9" s="280" customFormat="1">
      <c r="A12" s="437"/>
      <c r="B12" s="437"/>
      <c r="C12" s="437"/>
      <c r="D12" s="438" t="s">
        <v>483</v>
      </c>
      <c r="E12" s="436"/>
      <c r="F12" s="440"/>
      <c r="G12" s="202"/>
      <c r="H12" s="183"/>
    </row>
    <row r="13" spans="1:9" s="280" customFormat="1" ht="18.75" customHeight="1">
      <c r="A13" s="280" t="s">
        <v>321</v>
      </c>
      <c r="F13" s="217"/>
      <c r="G13" s="183"/>
      <c r="H13" s="183"/>
    </row>
    <row r="14" spans="1:9" s="184" customFormat="1">
      <c r="A14" s="335"/>
      <c r="D14" s="341" t="s">
        <v>322</v>
      </c>
      <c r="E14" s="280"/>
      <c r="H14" s="183"/>
    </row>
    <row r="15" spans="1:9">
      <c r="A15" s="335" t="s">
        <v>87</v>
      </c>
      <c r="B15" s="297"/>
      <c r="C15" s="336">
        <v>0</v>
      </c>
      <c r="D15" s="280" t="s">
        <v>323</v>
      </c>
      <c r="E15" s="280" t="s">
        <v>324</v>
      </c>
      <c r="H15" s="342"/>
    </row>
    <row r="16" spans="1:9">
      <c r="A16" s="335" t="s">
        <v>86</v>
      </c>
      <c r="B16" s="297" t="s">
        <v>46</v>
      </c>
      <c r="C16" s="336">
        <v>0</v>
      </c>
      <c r="D16" s="280" t="s">
        <v>325</v>
      </c>
      <c r="E16" s="280" t="s">
        <v>326</v>
      </c>
      <c r="H16" s="342"/>
    </row>
    <row r="17" spans="1:8">
      <c r="A17" s="335" t="s">
        <v>85</v>
      </c>
      <c r="B17" s="297"/>
      <c r="C17" s="336">
        <v>0</v>
      </c>
      <c r="D17" s="280" t="s">
        <v>327</v>
      </c>
      <c r="E17" s="280" t="s">
        <v>328</v>
      </c>
      <c r="H17" s="342"/>
    </row>
    <row r="18" spans="1:8">
      <c r="A18" s="335" t="s">
        <v>84</v>
      </c>
      <c r="B18" s="297"/>
      <c r="C18" s="336">
        <v>0</v>
      </c>
      <c r="D18" s="280" t="s">
        <v>329</v>
      </c>
      <c r="E18" s="280" t="s">
        <v>330</v>
      </c>
      <c r="H18" s="342"/>
    </row>
    <row r="19" spans="1:8">
      <c r="A19" s="335" t="s">
        <v>83</v>
      </c>
      <c r="B19" s="297"/>
      <c r="C19" s="336">
        <v>0</v>
      </c>
      <c r="D19" s="280" t="s">
        <v>331</v>
      </c>
      <c r="E19" s="280" t="s">
        <v>332</v>
      </c>
      <c r="H19" s="342"/>
    </row>
    <row r="20" spans="1:8">
      <c r="A20" s="335" t="s">
        <v>82</v>
      </c>
      <c r="B20" s="297" t="s">
        <v>46</v>
      </c>
      <c r="C20" s="336">
        <v>0</v>
      </c>
      <c r="D20" s="280" t="s">
        <v>333</v>
      </c>
      <c r="E20" s="311" t="s">
        <v>334</v>
      </c>
      <c r="H20" s="342"/>
    </row>
    <row r="21" spans="1:8" ht="9" customHeight="1">
      <c r="A21" s="335"/>
      <c r="B21" s="297"/>
      <c r="C21" s="297"/>
      <c r="D21" s="184"/>
      <c r="E21" s="184"/>
      <c r="H21" s="342"/>
    </row>
    <row r="22" spans="1:8">
      <c r="A22" s="335"/>
      <c r="B22" s="297"/>
      <c r="C22" s="297"/>
      <c r="D22" s="341" t="s">
        <v>335</v>
      </c>
      <c r="E22" s="311" t="s">
        <v>336</v>
      </c>
      <c r="H22" s="342"/>
    </row>
    <row r="23" spans="1:8">
      <c r="A23" s="335" t="s">
        <v>81</v>
      </c>
      <c r="B23" s="297"/>
      <c r="C23" s="336">
        <v>0</v>
      </c>
      <c r="D23" s="280" t="s">
        <v>337</v>
      </c>
      <c r="E23" s="280" t="s">
        <v>338</v>
      </c>
      <c r="H23" s="342"/>
    </row>
    <row r="24" spans="1:8" ht="49.5">
      <c r="A24" s="335" t="s">
        <v>80</v>
      </c>
      <c r="B24" s="297"/>
      <c r="C24" s="336">
        <v>0</v>
      </c>
      <c r="D24" s="311" t="s">
        <v>339</v>
      </c>
      <c r="E24" s="311" t="s">
        <v>340</v>
      </c>
      <c r="H24" s="342"/>
    </row>
    <row r="25" spans="1:8">
      <c r="A25" s="335" t="s">
        <v>79</v>
      </c>
      <c r="B25" s="297"/>
      <c r="C25" s="336">
        <v>0</v>
      </c>
      <c r="D25" s="280" t="s">
        <v>341</v>
      </c>
      <c r="E25" s="280" t="s">
        <v>342</v>
      </c>
    </row>
    <row r="26" spans="1:8" ht="7.9" customHeight="1">
      <c r="A26" s="335"/>
      <c r="B26" s="297"/>
      <c r="C26" s="297"/>
      <c r="D26" s="184"/>
      <c r="E26" s="184"/>
      <c r="H26" s="342"/>
    </row>
    <row r="27" spans="1:8">
      <c r="A27" s="335"/>
      <c r="B27" s="297"/>
      <c r="C27" s="297"/>
      <c r="D27" s="341" t="s">
        <v>343</v>
      </c>
      <c r="E27" s="280"/>
      <c r="H27" s="342"/>
    </row>
    <row r="28" spans="1:8" ht="33.4" customHeight="1">
      <c r="A28" s="335" t="s">
        <v>78</v>
      </c>
      <c r="B28" s="297"/>
      <c r="C28" s="336">
        <v>0</v>
      </c>
      <c r="D28" s="311" t="s">
        <v>344</v>
      </c>
      <c r="E28" s="280" t="s">
        <v>62</v>
      </c>
    </row>
    <row r="29" spans="1:8">
      <c r="A29" s="335" t="s">
        <v>77</v>
      </c>
      <c r="B29" s="297"/>
      <c r="C29" s="336">
        <v>0</v>
      </c>
      <c r="D29" s="280" t="s">
        <v>345</v>
      </c>
      <c r="E29" s="280" t="s">
        <v>346</v>
      </c>
    </row>
    <row r="30" spans="1:8" ht="6" customHeight="1">
      <c r="A30" s="335"/>
      <c r="B30" s="297"/>
      <c r="C30" s="297"/>
      <c r="D30" s="184"/>
      <c r="E30" s="184"/>
      <c r="H30" s="342"/>
    </row>
    <row r="31" spans="1:8">
      <c r="A31" s="335"/>
      <c r="B31" s="297"/>
      <c r="C31" s="297"/>
      <c r="D31" s="341" t="s">
        <v>347</v>
      </c>
      <c r="E31" s="280"/>
      <c r="H31" s="342"/>
    </row>
    <row r="32" spans="1:8" ht="33">
      <c r="A32" s="335" t="s">
        <v>76</v>
      </c>
      <c r="B32" s="297"/>
      <c r="C32" s="336">
        <v>0</v>
      </c>
      <c r="D32" s="311" t="s">
        <v>348</v>
      </c>
      <c r="E32" s="311" t="s">
        <v>349</v>
      </c>
    </row>
    <row r="33" spans="1:8" ht="7.5" customHeight="1">
      <c r="A33" s="335"/>
      <c r="B33" s="297"/>
      <c r="C33" s="297"/>
      <c r="D33" s="184"/>
      <c r="E33" s="184"/>
      <c r="H33" s="342"/>
    </row>
    <row r="34" spans="1:8">
      <c r="A34" s="335" t="s">
        <v>275</v>
      </c>
      <c r="B34" s="297"/>
      <c r="C34" s="297"/>
      <c r="D34" s="341" t="s">
        <v>347</v>
      </c>
      <c r="E34" s="280"/>
      <c r="H34" s="342"/>
    </row>
    <row r="35" spans="1:8">
      <c r="A35" s="335" t="s">
        <v>75</v>
      </c>
      <c r="B35" s="297"/>
      <c r="C35" s="336">
        <v>0</v>
      </c>
      <c r="D35" s="280" t="s">
        <v>350</v>
      </c>
      <c r="E35" s="280" t="s">
        <v>351</v>
      </c>
    </row>
    <row r="36" spans="1:8" ht="6.75" customHeight="1">
      <c r="A36" s="335"/>
      <c r="B36" s="297"/>
      <c r="C36" s="297"/>
      <c r="D36" s="184"/>
      <c r="E36" s="184"/>
      <c r="H36" s="342"/>
    </row>
    <row r="37" spans="1:8">
      <c r="A37" s="335"/>
      <c r="B37" s="297"/>
      <c r="C37" s="297"/>
      <c r="D37" s="343" t="s">
        <v>352</v>
      </c>
      <c r="E37" s="344"/>
      <c r="H37" s="342"/>
    </row>
    <row r="38" spans="1:8">
      <c r="A38" s="335" t="s">
        <v>74</v>
      </c>
      <c r="B38" s="297"/>
      <c r="C38" s="336">
        <v>0</v>
      </c>
      <c r="D38" s="311" t="s">
        <v>353</v>
      </c>
      <c r="E38" s="280" t="s">
        <v>354</v>
      </c>
    </row>
    <row r="39" spans="1:8">
      <c r="A39" s="335" t="s">
        <v>73</v>
      </c>
      <c r="B39" s="297"/>
      <c r="C39" s="336">
        <v>0</v>
      </c>
      <c r="D39" s="280" t="s">
        <v>356</v>
      </c>
      <c r="E39" s="280" t="s">
        <v>354</v>
      </c>
    </row>
    <row r="40" spans="1:8">
      <c r="A40" s="335" t="s">
        <v>72</v>
      </c>
      <c r="B40" s="297"/>
      <c r="C40" s="336">
        <v>0</v>
      </c>
      <c r="D40" s="280" t="s">
        <v>357</v>
      </c>
      <c r="E40" s="280" t="s">
        <v>354</v>
      </c>
    </row>
    <row r="41" spans="1:8">
      <c r="A41" s="335" t="s">
        <v>71</v>
      </c>
      <c r="B41" s="297"/>
      <c r="C41" s="336">
        <v>0</v>
      </c>
      <c r="D41" s="311" t="s">
        <v>358</v>
      </c>
      <c r="E41" s="280" t="s">
        <v>354</v>
      </c>
    </row>
    <row r="42" spans="1:8">
      <c r="A42" s="335" t="s">
        <v>70</v>
      </c>
      <c r="B42" s="297"/>
      <c r="C42" s="336">
        <v>0</v>
      </c>
      <c r="D42" s="280" t="s">
        <v>359</v>
      </c>
      <c r="E42" s="280" t="s">
        <v>354</v>
      </c>
    </row>
    <row r="43" spans="1:8">
      <c r="A43" s="335" t="s">
        <v>69</v>
      </c>
      <c r="B43" s="297"/>
      <c r="C43" s="336">
        <v>0</v>
      </c>
      <c r="D43" s="280" t="s">
        <v>360</v>
      </c>
      <c r="E43" s="280" t="s">
        <v>355</v>
      </c>
    </row>
    <row r="44" spans="1:8" ht="8.25" customHeight="1">
      <c r="A44" s="335"/>
      <c r="B44" s="297"/>
      <c r="C44" s="297"/>
      <c r="D44" s="184"/>
      <c r="E44" s="184"/>
    </row>
    <row r="45" spans="1:8">
      <c r="A45" s="335"/>
      <c r="B45" s="297"/>
      <c r="C45" s="297"/>
      <c r="D45" s="341" t="s">
        <v>361</v>
      </c>
      <c r="E45" s="280"/>
    </row>
    <row r="46" spans="1:8" ht="34.9" customHeight="1">
      <c r="A46" s="335" t="s">
        <v>68</v>
      </c>
      <c r="B46" s="297" t="s">
        <v>46</v>
      </c>
      <c r="C46" s="336">
        <v>0</v>
      </c>
      <c r="D46" s="311" t="s">
        <v>362</v>
      </c>
      <c r="E46" s="311" t="s">
        <v>363</v>
      </c>
    </row>
    <row r="47" spans="1:8">
      <c r="A47" s="335" t="s">
        <v>67</v>
      </c>
      <c r="B47" s="297" t="s">
        <v>46</v>
      </c>
      <c r="C47" s="336">
        <v>0</v>
      </c>
      <c r="D47" s="311" t="s">
        <v>364</v>
      </c>
      <c r="E47" s="311" t="s">
        <v>365</v>
      </c>
    </row>
    <row r="48" spans="1:8">
      <c r="A48" s="335" t="s">
        <v>66</v>
      </c>
      <c r="B48" s="297"/>
      <c r="C48" s="336">
        <v>0</v>
      </c>
      <c r="D48" s="280" t="s">
        <v>366</v>
      </c>
      <c r="E48" s="280" t="s">
        <v>367</v>
      </c>
    </row>
    <row r="49" spans="1:21">
      <c r="A49" s="335" t="s">
        <v>65</v>
      </c>
      <c r="B49" s="297"/>
      <c r="C49" s="336">
        <v>0</v>
      </c>
      <c r="D49" s="280" t="s">
        <v>368</v>
      </c>
      <c r="E49" s="280" t="s">
        <v>369</v>
      </c>
    </row>
    <row r="50" spans="1:21">
      <c r="A50" s="335" t="s">
        <v>64</v>
      </c>
      <c r="B50" s="297"/>
      <c r="C50" s="336">
        <v>0</v>
      </c>
      <c r="D50" s="280" t="s">
        <v>370</v>
      </c>
      <c r="E50" s="280" t="s">
        <v>371</v>
      </c>
    </row>
    <row r="51" spans="1:21">
      <c r="A51" s="335" t="s">
        <v>63</v>
      </c>
      <c r="B51" s="297"/>
      <c r="C51" s="336">
        <v>0</v>
      </c>
      <c r="D51" s="280" t="s">
        <v>372</v>
      </c>
      <c r="E51" s="280" t="s">
        <v>62</v>
      </c>
    </row>
    <row r="52" spans="1:21" ht="7.5" customHeight="1">
      <c r="A52" s="335"/>
      <c r="B52" s="297"/>
      <c r="D52" s="184"/>
      <c r="E52" s="184"/>
    </row>
    <row r="53" spans="1:21">
      <c r="A53" s="335"/>
      <c r="B53" s="297"/>
      <c r="D53" s="341" t="s">
        <v>373</v>
      </c>
      <c r="E53" s="280"/>
    </row>
    <row r="54" spans="1:21">
      <c r="A54" s="335" t="s">
        <v>61</v>
      </c>
      <c r="B54" s="297"/>
      <c r="C54" s="336">
        <v>0</v>
      </c>
      <c r="D54" s="311" t="s">
        <v>374</v>
      </c>
      <c r="E54" s="280" t="s">
        <v>60</v>
      </c>
    </row>
    <row r="55" spans="1:21" s="184" customFormat="1" ht="18" customHeight="1">
      <c r="A55" s="345"/>
      <c r="B55" s="345"/>
      <c r="C55" s="345"/>
      <c r="D55" s="323"/>
      <c r="E55" s="183"/>
      <c r="G55" s="346"/>
      <c r="H55" s="183"/>
    </row>
    <row r="56" spans="1:21" s="184" customFormat="1" ht="18" customHeight="1">
      <c r="A56" s="345"/>
      <c r="B56" s="347">
        <f>SUM(B8:B10)</f>
        <v>0</v>
      </c>
      <c r="C56" s="202"/>
      <c r="D56" s="323" t="s">
        <v>376</v>
      </c>
      <c r="E56" s="202" t="str">
        <f>IF(B56=3,"", "Les 3 Conditions initiales doivent être remplies pour générer des points")</f>
        <v>Les 3 Conditions initiales doivent être remplies pour générer des points</v>
      </c>
      <c r="G56" s="346"/>
      <c r="H56" s="183"/>
    </row>
    <row r="57" spans="1:21" s="184" customFormat="1" ht="18" customHeight="1">
      <c r="A57" s="345"/>
      <c r="B57" s="348"/>
      <c r="C57" s="348">
        <f>SUM(C15:C54)</f>
        <v>0</v>
      </c>
      <c r="D57" s="323" t="s">
        <v>377</v>
      </c>
      <c r="G57" s="346"/>
      <c r="H57" s="183"/>
    </row>
    <row r="58" spans="1:21" s="184" customFormat="1" ht="3.75" customHeight="1">
      <c r="A58" s="345"/>
      <c r="B58" s="345"/>
      <c r="C58" s="345"/>
      <c r="D58" s="323"/>
      <c r="E58" s="183"/>
      <c r="G58" s="346"/>
      <c r="H58" s="183"/>
    </row>
    <row r="59" spans="1:21" s="186" customFormat="1" ht="22.5" customHeight="1">
      <c r="A59" s="431" t="s">
        <v>375</v>
      </c>
      <c r="B59" s="431"/>
      <c r="C59" s="431"/>
      <c r="D59" s="431"/>
      <c r="E59" s="441">
        <f>IF(B3&gt;0,B3,IF(SUM(B8:B10)&lt;&gt;3,0,IF(C57&lt;10,"0",IF(C57&lt;14,"0.5",IF(C57&lt;18,"1.0",IF(C57&gt;17,1.5))))))</f>
        <v>0</v>
      </c>
      <c r="F59" s="442"/>
      <c r="G59" s="187" t="str">
        <f>IF(OR(F11&lt;&gt;3,C57&lt;10),"",IF(C57&gt;17,"Gold",IF(C57&gt;13,"Silber","Bronze")))</f>
        <v/>
      </c>
      <c r="H59" s="349"/>
    </row>
    <row r="60" spans="1:21" s="184" customFormat="1" ht="6" customHeight="1">
      <c r="A60" s="183"/>
      <c r="B60" s="183"/>
      <c r="C60" s="183"/>
      <c r="D60" s="183"/>
      <c r="E60" s="185"/>
      <c r="G60" s="185"/>
      <c r="H60" s="183"/>
    </row>
    <row r="61" spans="1:21" ht="15.95" customHeight="1">
      <c r="A61" s="493" t="s">
        <v>440</v>
      </c>
      <c r="B61" s="493"/>
      <c r="C61" s="493"/>
      <c r="D61" s="493"/>
      <c r="E61" s="493"/>
      <c r="F61" s="493"/>
      <c r="G61" s="199"/>
      <c r="H61" s="199"/>
      <c r="I61" s="199"/>
      <c r="J61" s="199"/>
      <c r="K61" s="199"/>
      <c r="L61" s="199"/>
      <c r="M61" s="199"/>
      <c r="N61" s="199"/>
      <c r="O61" s="199"/>
      <c r="P61" s="199"/>
      <c r="Q61" s="199"/>
      <c r="R61" s="199"/>
      <c r="S61" s="199"/>
      <c r="T61" s="199"/>
      <c r="U61" s="199"/>
    </row>
    <row r="62" spans="1:21" ht="14.65" customHeight="1">
      <c r="E62" s="297"/>
      <c r="F62" s="342"/>
      <c r="G62" s="342"/>
      <c r="H62" s="342"/>
    </row>
    <row r="63" spans="1:21" ht="15.4" customHeight="1">
      <c r="E63" s="184"/>
      <c r="G63" s="332"/>
      <c r="H63" s="332"/>
    </row>
    <row r="64" spans="1:21" ht="14.65" customHeight="1">
      <c r="G64" s="332"/>
      <c r="H64" s="332"/>
    </row>
    <row r="65" spans="7:8">
      <c r="G65" s="332"/>
      <c r="H65" s="332"/>
    </row>
    <row r="66" spans="7:8">
      <c r="G66" s="332"/>
      <c r="H66" s="332"/>
    </row>
    <row r="67" spans="7:8">
      <c r="G67" s="332"/>
      <c r="H67" s="332"/>
    </row>
    <row r="68" spans="7:8">
      <c r="G68" s="332"/>
      <c r="H68" s="332"/>
    </row>
    <row r="69" spans="7:8">
      <c r="G69" s="332"/>
      <c r="H69" s="332"/>
    </row>
    <row r="70" spans="7:8">
      <c r="G70" s="332"/>
      <c r="H70" s="332"/>
    </row>
    <row r="71" spans="7:8">
      <c r="G71" s="332"/>
      <c r="H71" s="332"/>
    </row>
    <row r="72" spans="7:8">
      <c r="G72" s="332"/>
      <c r="H72" s="332"/>
    </row>
    <row r="73" spans="7:8">
      <c r="G73" s="332"/>
      <c r="H73" s="332"/>
    </row>
    <row r="74" spans="7:8" hidden="1">
      <c r="G74" s="332"/>
      <c r="H74" s="332"/>
    </row>
    <row r="75" spans="7:8" hidden="1">
      <c r="G75" s="332"/>
      <c r="H75" s="332"/>
    </row>
    <row r="76" spans="7:8"/>
    <row r="77" spans="7:8"/>
    <row r="78" spans="7:8"/>
    <row r="79" spans="7:8"/>
    <row r="80" spans="7:8"/>
    <row r="81"/>
    <row r="82"/>
    <row r="83"/>
    <row r="85"/>
    <row r="86"/>
    <row r="87"/>
    <row r="88"/>
    <row r="89"/>
    <row r="90"/>
    <row r="91"/>
    <row r="92"/>
    <row r="93"/>
    <row r="94"/>
    <row r="95"/>
    <row r="96"/>
    <row r="97"/>
    <row r="98"/>
    <row r="99"/>
    <row r="100"/>
    <row r="101"/>
    <row r="102"/>
    <row r="103"/>
  </sheetData>
  <sheetProtection sheet="1" selectLockedCells="1"/>
  <mergeCells count="1">
    <mergeCell ref="A61:F61"/>
  </mergeCells>
  <conditionalFormatting sqref="G59:G60">
    <cfRule type="cellIs" dxfId="14" priority="1" operator="equal">
      <formula>"Gold"</formula>
    </cfRule>
    <cfRule type="cellIs" dxfId="13" priority="2" operator="equal">
      <formula>"Silber"</formula>
    </cfRule>
    <cfRule type="cellIs" dxfId="12" priority="3" operator="equal">
      <formula>"Bronze"</formula>
    </cfRule>
  </conditionalFormatting>
  <dataValidations count="2">
    <dataValidation type="decimal" showInputMessage="1" showErrorMessage="1" errorTitle="ungültiger Wert" error="0, 0.5, 1 oder 1.5 sind möglich" sqref="B3" xr:uid="{3B992DF2-51A7-477A-82DE-6C80EB96862C}">
      <formula1>0</formula1>
      <formula2>1.5</formula2>
    </dataValidation>
    <dataValidation type="whole" allowBlank="1" showInputMessage="1" showErrorMessage="1" errorTitle="ungültige Eingab" error="correct: 1 remplir_x000a_incorrect: 0 remplir_x000a_" sqref="B8:B10 C15:C20 C23:C25 C28:C29 C32 C35 C38:C43 C46:C51 C54" xr:uid="{B9AC2F2D-D00C-42AA-9401-4C8D0E3E4CB1}">
      <formula1>0</formula1>
      <formula2>1</formula2>
    </dataValidation>
  </dataValidations>
  <pageMargins left="0.70866141732283472" right="0.70866141732283472" top="0.74803149606299213" bottom="0.74803149606299213" header="0.31496062992125984" footer="0.31496062992125984"/>
  <pageSetup paperSize="9" scale="53" fitToHeight="0" orientation="portrait" r:id="rId1"/>
  <headerFooter>
    <oddFooter>&amp;L&amp;9Auteurs: Markus Jenny, Jael Hoffmann, IPS&amp;C&amp;9&amp;Z&amp;F&amp;R&amp;9Vérsion 5.6.2018</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E195FF-006A-4166-8E4C-D7ADE702E4B5}">
  <sheetPr>
    <tabColor theme="6" tint="0.79998168889431442"/>
  </sheetPr>
  <dimension ref="A1:U83"/>
  <sheetViews>
    <sheetView zoomScale="140" zoomScaleNormal="140" workbookViewId="0">
      <pane ySplit="1" topLeftCell="A2" activePane="bottomLeft" state="frozen"/>
      <selection pane="bottomLeft" activeCell="B3" sqref="B3"/>
    </sheetView>
  </sheetViews>
  <sheetFormatPr baseColWidth="10" defaultRowHeight="15.95" customHeight="1"/>
  <cols>
    <col min="1" max="1" width="6.140625" style="279" customWidth="1"/>
    <col min="2" max="2" width="10.5703125" style="279" customWidth="1"/>
    <col min="3" max="3" width="56" style="279" customWidth="1"/>
    <col min="4" max="4" width="8.28515625" style="279" customWidth="1"/>
    <col min="5" max="5" width="2.7109375" style="279" customWidth="1"/>
    <col min="6" max="6" width="11.42578125" style="309"/>
    <col min="7" max="7" width="6" style="279" customWidth="1"/>
    <col min="8" max="11" width="8.5703125" style="279" customWidth="1"/>
    <col min="12" max="12" width="7.140625" style="279" bestFit="1" customWidth="1"/>
    <col min="13" max="13" width="6.5703125" style="181" hidden="1" customWidth="1"/>
    <col min="14" max="14" width="4.28515625" style="182" hidden="1" customWidth="1"/>
    <col min="15" max="15" width="6.5703125" style="181" hidden="1" customWidth="1"/>
    <col min="16" max="16" width="4.28515625" style="182" hidden="1" customWidth="1"/>
    <col min="17" max="17" width="6.5703125" style="181" hidden="1" customWidth="1"/>
    <col min="18" max="18" width="4.28515625" style="182" hidden="1" customWidth="1"/>
    <col min="19" max="19" width="6.5703125" style="181" hidden="1" customWidth="1"/>
    <col min="20" max="20" width="2.140625" style="182" hidden="1" customWidth="1"/>
    <col min="21" max="16384" width="11.42578125" style="279"/>
  </cols>
  <sheetData>
    <row r="1" spans="1:20" s="422" customFormat="1" ht="24.95" customHeight="1">
      <c r="A1" s="423" t="s">
        <v>383</v>
      </c>
      <c r="B1" s="424"/>
      <c r="C1" s="424"/>
      <c r="D1" s="424"/>
      <c r="E1" s="424"/>
      <c r="F1" s="425"/>
      <c r="G1" s="426"/>
      <c r="H1" s="427" t="s">
        <v>425</v>
      </c>
      <c r="I1" s="428">
        <f>+I81</f>
        <v>0</v>
      </c>
      <c r="J1" s="429"/>
      <c r="K1" s="487"/>
      <c r="L1" s="430">
        <f>+SUM(B3:B75)+COUNTA(D60:F60,D68:F68,D72:F72,D76:F76)</f>
        <v>0</v>
      </c>
    </row>
    <row r="2" spans="1:20" ht="6" customHeight="1">
      <c r="A2" s="278"/>
      <c r="B2" s="278"/>
      <c r="C2" s="278"/>
      <c r="E2" s="278"/>
      <c r="F2" s="278"/>
      <c r="G2" s="280"/>
      <c r="H2" s="280"/>
      <c r="I2" s="280"/>
      <c r="J2" s="280"/>
      <c r="K2" s="280"/>
      <c r="L2" s="280"/>
    </row>
    <row r="3" spans="1:20" ht="15.95" customHeight="1">
      <c r="A3" s="278"/>
      <c r="B3" s="247">
        <v>0</v>
      </c>
      <c r="C3" s="281" t="s">
        <v>378</v>
      </c>
      <c r="F3" s="282"/>
      <c r="G3" s="200"/>
      <c r="H3" s="280"/>
      <c r="I3" s="280"/>
      <c r="J3" s="280"/>
      <c r="K3" s="280"/>
      <c r="L3" s="280"/>
    </row>
    <row r="4" spans="1:20" ht="6" customHeight="1">
      <c r="A4" s="278"/>
      <c r="B4" s="278"/>
      <c r="C4" s="278"/>
      <c r="F4" s="283"/>
      <c r="G4" s="219"/>
      <c r="H4" s="280"/>
      <c r="I4" s="280"/>
      <c r="J4" s="280"/>
      <c r="K4" s="280"/>
      <c r="L4" s="280"/>
    </row>
    <row r="5" spans="1:20" ht="15.95" customHeight="1">
      <c r="A5" s="278"/>
      <c r="B5" s="247">
        <v>0</v>
      </c>
      <c r="C5" s="284" t="s">
        <v>379</v>
      </c>
      <c r="F5" s="282"/>
      <c r="G5" s="284"/>
      <c r="H5" s="280"/>
      <c r="I5" s="280"/>
      <c r="J5" s="280"/>
      <c r="K5" s="280"/>
      <c r="L5" s="280"/>
    </row>
    <row r="6" spans="1:20" ht="6" customHeight="1">
      <c r="A6" s="278"/>
      <c r="B6" s="278"/>
      <c r="C6" s="278"/>
      <c r="E6" s="278"/>
      <c r="F6" s="278"/>
      <c r="G6" s="280"/>
      <c r="H6" s="280"/>
      <c r="I6" s="280"/>
      <c r="J6" s="280"/>
      <c r="K6" s="280"/>
      <c r="L6" s="280"/>
    </row>
    <row r="7" spans="1:20" ht="20.100000000000001" customHeight="1">
      <c r="A7" s="431" t="s">
        <v>384</v>
      </c>
      <c r="B7" s="432"/>
      <c r="C7" s="432"/>
      <c r="D7" s="432"/>
      <c r="E7" s="432"/>
      <c r="F7" s="484" t="s">
        <v>380</v>
      </c>
      <c r="G7" s="432"/>
      <c r="H7" s="485" t="s">
        <v>120</v>
      </c>
      <c r="I7" s="485" t="s">
        <v>119</v>
      </c>
      <c r="J7" s="485" t="s">
        <v>381</v>
      </c>
      <c r="K7" s="485" t="s">
        <v>117</v>
      </c>
      <c r="L7" s="485" t="s">
        <v>439</v>
      </c>
      <c r="M7" s="279"/>
      <c r="N7" s="279"/>
      <c r="O7" s="279"/>
      <c r="P7" s="279"/>
      <c r="Q7" s="279"/>
      <c r="R7" s="279"/>
      <c r="S7" s="279"/>
      <c r="T7" s="279"/>
    </row>
    <row r="8" spans="1:20" ht="6" customHeight="1">
      <c r="A8" s="215"/>
      <c r="B8" s="285"/>
      <c r="C8" s="285"/>
      <c r="D8" s="286"/>
      <c r="E8" s="183"/>
      <c r="F8" s="469"/>
      <c r="G8" s="202"/>
      <c r="H8" s="304"/>
      <c r="I8" s="304"/>
      <c r="J8" s="304"/>
      <c r="K8" s="304"/>
      <c r="L8" s="304"/>
      <c r="M8" s="287"/>
      <c r="N8" s="288"/>
      <c r="O8" s="287"/>
      <c r="P8" s="288"/>
      <c r="Q8" s="287"/>
      <c r="R8" s="288"/>
      <c r="S8" s="287"/>
      <c r="T8" s="288"/>
    </row>
    <row r="9" spans="1:20" ht="15.95" customHeight="1">
      <c r="A9" s="215" t="s">
        <v>458</v>
      </c>
      <c r="B9" s="289">
        <v>0</v>
      </c>
      <c r="C9" s="497" t="s">
        <v>385</v>
      </c>
      <c r="D9" s="497"/>
      <c r="E9" s="290"/>
      <c r="F9" s="291">
        <f>+IF(B9=O9,P9,IF(B9=Q9,R9,IF(B9=S9,T9,0)))</f>
        <v>0</v>
      </c>
      <c r="G9" s="280"/>
      <c r="H9" s="292"/>
      <c r="I9" s="292">
        <f>O9</f>
        <v>2</v>
      </c>
      <c r="J9" s="292">
        <f>Q9</f>
        <v>3</v>
      </c>
      <c r="K9" s="292">
        <f>S9</f>
        <v>4</v>
      </c>
      <c r="L9" s="292" t="s">
        <v>438</v>
      </c>
      <c r="M9" s="293"/>
      <c r="N9" s="294"/>
      <c r="O9" s="295">
        <v>2</v>
      </c>
      <c r="P9" s="296">
        <v>1</v>
      </c>
      <c r="Q9" s="295">
        <v>3</v>
      </c>
      <c r="R9" s="296">
        <v>1.5</v>
      </c>
      <c r="S9" s="295">
        <v>4</v>
      </c>
      <c r="T9" s="296">
        <v>2</v>
      </c>
    </row>
    <row r="10" spans="1:20" ht="63.75" customHeight="1">
      <c r="A10" s="215"/>
      <c r="B10" s="280"/>
      <c r="C10" s="498" t="s">
        <v>388</v>
      </c>
      <c r="D10" s="498"/>
      <c r="E10" s="297"/>
      <c r="F10" s="202"/>
      <c r="G10" s="280"/>
      <c r="H10" s="292"/>
      <c r="I10" s="292"/>
      <c r="J10" s="292"/>
      <c r="K10" s="292"/>
      <c r="L10" s="292"/>
      <c r="M10" s="293"/>
      <c r="N10" s="294"/>
      <c r="O10" s="295"/>
      <c r="P10" s="296"/>
      <c r="Q10" s="295"/>
      <c r="R10" s="296"/>
      <c r="S10" s="295"/>
      <c r="T10" s="296"/>
    </row>
    <row r="11" spans="1:20" ht="6" customHeight="1">
      <c r="A11" s="215"/>
      <c r="B11" s="280"/>
      <c r="C11" s="297"/>
      <c r="D11" s="280"/>
      <c r="E11" s="280"/>
      <c r="F11" s="202"/>
      <c r="G11" s="280"/>
      <c r="H11" s="292"/>
      <c r="I11" s="292"/>
      <c r="J11" s="292"/>
      <c r="K11" s="292"/>
      <c r="L11" s="292"/>
      <c r="M11" s="295"/>
      <c r="N11" s="296"/>
      <c r="O11" s="295"/>
      <c r="P11" s="296"/>
      <c r="Q11" s="295"/>
      <c r="R11" s="296"/>
      <c r="S11" s="295"/>
      <c r="T11" s="296"/>
    </row>
    <row r="12" spans="1:20" ht="15.95" customHeight="1">
      <c r="A12" s="215" t="s">
        <v>459</v>
      </c>
      <c r="B12" s="247">
        <v>0</v>
      </c>
      <c r="C12" s="497" t="s">
        <v>389</v>
      </c>
      <c r="D12" s="497"/>
      <c r="E12" s="290"/>
      <c r="F12" s="291">
        <f>+IF(D14&gt;S12,T12,IF(D14&gt;Q12,R12,IF(D14&gt;O12,P12,IF(D14&gt;=M12,N12,0))))</f>
        <v>0</v>
      </c>
      <c r="G12" s="280"/>
      <c r="H12" s="292" t="str">
        <f>M12*100 &amp; "–" &amp; O12*100</f>
        <v>2–3</v>
      </c>
      <c r="I12" s="292" t="str">
        <f>"&gt;" &amp; O12*100 &amp; "–" &amp; Q12*100</f>
        <v>&gt;3–4</v>
      </c>
      <c r="J12" s="292" t="str">
        <f>"&gt;" &amp; Q12*100 &amp; "–" &amp; S12*100</f>
        <v>&gt;4–5</v>
      </c>
      <c r="K12" s="298" t="str">
        <f>"&gt;" &amp; S12*100</f>
        <v>&gt;5</v>
      </c>
      <c r="L12" s="305" t="s">
        <v>15</v>
      </c>
      <c r="M12" s="299">
        <v>0.02</v>
      </c>
      <c r="N12" s="296">
        <v>0.5</v>
      </c>
      <c r="O12" s="299">
        <v>0.03</v>
      </c>
      <c r="P12" s="296">
        <v>1</v>
      </c>
      <c r="Q12" s="299">
        <v>0.04</v>
      </c>
      <c r="R12" s="296">
        <v>1.5</v>
      </c>
      <c r="S12" s="299">
        <v>0.05</v>
      </c>
      <c r="T12" s="296">
        <v>2</v>
      </c>
    </row>
    <row r="13" spans="1:20" ht="15.95" customHeight="1">
      <c r="A13" s="215"/>
      <c r="B13" s="215"/>
      <c r="C13" s="497" t="s">
        <v>390</v>
      </c>
      <c r="D13" s="497"/>
      <c r="E13" s="280"/>
      <c r="F13" s="291"/>
      <c r="G13" s="280"/>
      <c r="H13" s="292"/>
      <c r="I13" s="292"/>
      <c r="J13" s="292"/>
      <c r="K13" s="298"/>
      <c r="L13" s="298"/>
      <c r="M13" s="299"/>
      <c r="N13" s="296"/>
      <c r="O13" s="299"/>
      <c r="P13" s="296"/>
      <c r="Q13" s="299"/>
      <c r="R13" s="296"/>
      <c r="S13" s="299"/>
      <c r="T13" s="296"/>
    </row>
    <row r="14" spans="1:20" ht="15.95" customHeight="1">
      <c r="A14" s="215"/>
      <c r="B14" s="280"/>
      <c r="C14" s="184" t="s">
        <v>386</v>
      </c>
      <c r="D14" s="300">
        <f>+IF(B12&gt;0,B12/Gemüse_Freiland,0)</f>
        <v>0</v>
      </c>
      <c r="E14" s="280"/>
      <c r="F14" s="301"/>
      <c r="G14" s="280"/>
      <c r="H14" s="292"/>
      <c r="I14" s="292"/>
      <c r="J14" s="292"/>
      <c r="K14" s="292"/>
      <c r="L14" s="292"/>
      <c r="M14" s="295"/>
      <c r="N14" s="296"/>
      <c r="O14" s="295"/>
      <c r="P14" s="296"/>
      <c r="Q14" s="295"/>
      <c r="R14" s="296"/>
      <c r="S14" s="295"/>
      <c r="T14" s="296"/>
    </row>
    <row r="15" spans="1:20" ht="6" customHeight="1">
      <c r="A15" s="215"/>
      <c r="B15" s="280"/>
      <c r="C15" s="297"/>
      <c r="D15" s="297"/>
      <c r="E15" s="297"/>
      <c r="F15" s="303"/>
      <c r="G15" s="297"/>
      <c r="H15" s="470"/>
      <c r="I15" s="470"/>
      <c r="J15" s="470"/>
      <c r="K15" s="470"/>
      <c r="L15" s="470"/>
      <c r="M15" s="295"/>
      <c r="N15" s="296"/>
      <c r="O15" s="295"/>
      <c r="P15" s="296"/>
      <c r="Q15" s="295"/>
      <c r="R15" s="296"/>
      <c r="S15" s="295"/>
      <c r="T15" s="296"/>
    </row>
    <row r="16" spans="1:20" ht="15.95" customHeight="1">
      <c r="A16" s="215" t="s">
        <v>460</v>
      </c>
      <c r="B16" s="247">
        <v>0</v>
      </c>
      <c r="C16" s="497" t="s">
        <v>391</v>
      </c>
      <c r="D16" s="497"/>
      <c r="E16" s="290"/>
      <c r="F16" s="291">
        <f>+IF(D18&gt;S16,T16,IF(D18&gt;Q16,R16,IF(D18&gt;O16,P16,IF(D18&gt;=M16,N16,0))))</f>
        <v>0</v>
      </c>
      <c r="G16" s="280"/>
      <c r="H16" s="292" t="str">
        <f>M16*100 &amp; "–" &amp; O16*100</f>
        <v>0.5–1.5</v>
      </c>
      <c r="I16" s="304" t="str">
        <f>"&gt;" &amp; O16*100 &amp; "–" &amp; Q16*100</f>
        <v>&gt;1.5–2.5</v>
      </c>
      <c r="J16" s="292" t="str">
        <f>"&gt;" &amp; Q16*100 &amp; "–" &amp; S16*100</f>
        <v>&gt;2.5–3.5</v>
      </c>
      <c r="K16" s="305" t="str">
        <f>"&gt;" &amp; S16*100</f>
        <v>&gt;3.5</v>
      </c>
      <c r="L16" s="305" t="s">
        <v>15</v>
      </c>
      <c r="M16" s="306">
        <v>5.0000000000000001E-3</v>
      </c>
      <c r="N16" s="296">
        <v>0.5</v>
      </c>
      <c r="O16" s="306">
        <v>1.4999999999999999E-2</v>
      </c>
      <c r="P16" s="296">
        <v>1</v>
      </c>
      <c r="Q16" s="306">
        <v>2.5000000000000001E-2</v>
      </c>
      <c r="R16" s="296">
        <v>1.5</v>
      </c>
      <c r="S16" s="306">
        <v>3.5000000000000003E-2</v>
      </c>
      <c r="T16" s="296">
        <v>2</v>
      </c>
    </row>
    <row r="17" spans="1:20" ht="15.95" customHeight="1">
      <c r="A17" s="215"/>
      <c r="B17" s="307"/>
      <c r="C17" s="498" t="s">
        <v>392</v>
      </c>
      <c r="D17" s="498"/>
      <c r="E17" s="297"/>
      <c r="F17" s="291"/>
      <c r="G17" s="280"/>
      <c r="H17" s="292"/>
      <c r="I17" s="304"/>
      <c r="J17" s="292"/>
      <c r="K17" s="305"/>
      <c r="L17" s="305"/>
      <c r="M17" s="306"/>
      <c r="N17" s="296"/>
      <c r="O17" s="306"/>
      <c r="P17" s="296"/>
      <c r="Q17" s="306"/>
      <c r="R17" s="296"/>
      <c r="S17" s="306"/>
      <c r="T17" s="296"/>
    </row>
    <row r="18" spans="1:20" ht="15.95" customHeight="1">
      <c r="A18" s="215"/>
      <c r="B18" s="280"/>
      <c r="C18" s="184" t="s">
        <v>386</v>
      </c>
      <c r="D18" s="300">
        <f>+IF(B16&gt;0, B16/Gemüse_Freiland,0)</f>
        <v>0</v>
      </c>
      <c r="E18" s="308"/>
      <c r="F18" s="301"/>
      <c r="G18" s="280"/>
      <c r="H18" s="292"/>
      <c r="I18" s="292"/>
      <c r="J18" s="292"/>
      <c r="K18" s="292"/>
      <c r="L18" s="292"/>
      <c r="M18" s="295"/>
      <c r="N18" s="296"/>
      <c r="O18" s="295"/>
      <c r="P18" s="296"/>
      <c r="Q18" s="295"/>
      <c r="R18" s="296"/>
      <c r="S18" s="295"/>
      <c r="T18" s="296"/>
    </row>
    <row r="19" spans="1:20" ht="6" customHeight="1">
      <c r="A19" s="215"/>
      <c r="H19" s="471"/>
      <c r="I19" s="471"/>
      <c r="J19" s="471"/>
      <c r="K19" s="471"/>
      <c r="L19" s="471"/>
      <c r="M19" s="295"/>
      <c r="N19" s="296"/>
      <c r="O19" s="295"/>
      <c r="P19" s="296"/>
      <c r="Q19" s="295"/>
      <c r="R19" s="296"/>
      <c r="S19" s="295"/>
      <c r="T19" s="296"/>
    </row>
    <row r="20" spans="1:20" ht="15.95" customHeight="1">
      <c r="A20" s="215" t="s">
        <v>461</v>
      </c>
      <c r="B20" s="479">
        <v>0</v>
      </c>
      <c r="C20" s="496" t="s">
        <v>393</v>
      </c>
      <c r="D20" s="496"/>
      <c r="E20" s="286"/>
      <c r="F20" s="291">
        <f>+IF(B20&gt;S20,T20,IF(B20&gt;Q20,R20,IF(B20&gt;O20,P20,IF(B20&gt;=M20,N20,0))))</f>
        <v>0</v>
      </c>
      <c r="G20" s="280"/>
      <c r="H20" s="292" t="str">
        <f>M20*100 &amp; "–" &amp; O20*100</f>
        <v>10–25</v>
      </c>
      <c r="I20" s="292" t="str">
        <f>"&gt;" &amp; O20*100 &amp; "–" &amp; Q20*100</f>
        <v>&gt;25–50</v>
      </c>
      <c r="J20" s="304" t="str">
        <f>"&gt;" &amp; Q20*100 &amp; "–" &amp; S20*100</f>
        <v>&gt;50–90</v>
      </c>
      <c r="K20" s="305" t="str">
        <f>"&gt;" &amp; S20*100</f>
        <v>&gt;90</v>
      </c>
      <c r="L20" s="305" t="s">
        <v>15</v>
      </c>
      <c r="M20" s="299">
        <v>0.1</v>
      </c>
      <c r="N20" s="296">
        <v>0.5</v>
      </c>
      <c r="O20" s="299">
        <v>0.25</v>
      </c>
      <c r="P20" s="296">
        <v>1</v>
      </c>
      <c r="Q20" s="299">
        <v>0.5</v>
      </c>
      <c r="R20" s="296">
        <v>1.5</v>
      </c>
      <c r="S20" s="299">
        <v>0.9</v>
      </c>
      <c r="T20" s="296">
        <v>2</v>
      </c>
    </row>
    <row r="21" spans="1:20" ht="15.95" customHeight="1">
      <c r="A21" s="215"/>
      <c r="B21" s="280"/>
      <c r="C21" s="498" t="s">
        <v>394</v>
      </c>
      <c r="D21" s="498"/>
      <c r="E21" s="280"/>
      <c r="F21" s="301"/>
      <c r="G21" s="280"/>
      <c r="H21" s="292"/>
      <c r="I21" s="292"/>
      <c r="J21" s="292"/>
      <c r="K21" s="292"/>
      <c r="L21" s="292"/>
    </row>
    <row r="22" spans="1:20" ht="6" customHeight="1">
      <c r="A22" s="215"/>
      <c r="H22" s="471"/>
      <c r="I22" s="471"/>
      <c r="J22" s="471"/>
      <c r="K22" s="471"/>
      <c r="L22" s="471"/>
    </row>
    <row r="23" spans="1:20" ht="15.95" customHeight="1">
      <c r="A23" s="215" t="s">
        <v>462</v>
      </c>
      <c r="B23" s="247">
        <v>0</v>
      </c>
      <c r="C23" s="496" t="s">
        <v>395</v>
      </c>
      <c r="D23" s="496"/>
      <c r="E23" s="286"/>
      <c r="F23" s="291">
        <f>+IF(D26&gt;S23,T23,IF(D26&gt;Q23,R23,IF(D26&gt;O23,P23,IF(D26&gt;=M23,N23,0))))</f>
        <v>0</v>
      </c>
      <c r="G23" s="280"/>
      <c r="H23" s="292" t="str">
        <f>M23*100 &amp; "–" &amp; O23*100</f>
        <v>1.5–2</v>
      </c>
      <c r="I23" s="304" t="str">
        <f>"&gt;" &amp; O23*100 &amp; "–" &amp; Q23*100</f>
        <v>&gt;2–2.5</v>
      </c>
      <c r="J23" s="292" t="str">
        <f>"&gt;" &amp; Q23*100 &amp; "–" &amp; S23*100</f>
        <v>&gt;2.5–3</v>
      </c>
      <c r="K23" s="305" t="str">
        <f>"&gt;" &amp; S23*100</f>
        <v>&gt;3</v>
      </c>
      <c r="L23" s="305" t="s">
        <v>15</v>
      </c>
      <c r="M23" s="306">
        <v>1.4999999999999999E-2</v>
      </c>
      <c r="N23" s="296">
        <v>0.5</v>
      </c>
      <c r="O23" s="306">
        <v>0.02</v>
      </c>
      <c r="P23" s="296">
        <v>1</v>
      </c>
      <c r="Q23" s="306">
        <v>2.5000000000000001E-2</v>
      </c>
      <c r="R23" s="296">
        <v>1.5</v>
      </c>
      <c r="S23" s="306">
        <v>0.03</v>
      </c>
      <c r="T23" s="296">
        <v>2</v>
      </c>
    </row>
    <row r="24" spans="1:20" ht="15.95" customHeight="1">
      <c r="A24" s="215"/>
      <c r="B24" s="215"/>
      <c r="C24" s="496" t="s">
        <v>396</v>
      </c>
      <c r="D24" s="496"/>
      <c r="E24" s="286"/>
      <c r="F24" s="291"/>
      <c r="G24" s="280"/>
      <c r="H24" s="292"/>
      <c r="I24" s="292"/>
      <c r="J24" s="292"/>
      <c r="K24" s="298"/>
      <c r="L24" s="298"/>
      <c r="M24" s="306"/>
      <c r="N24" s="296"/>
      <c r="O24" s="306"/>
      <c r="P24" s="296"/>
      <c r="Q24" s="306"/>
      <c r="R24" s="296"/>
      <c r="S24" s="306"/>
      <c r="T24" s="296"/>
    </row>
    <row r="25" spans="1:20" ht="30.75" customHeight="1">
      <c r="A25" s="215"/>
      <c r="B25" s="307"/>
      <c r="C25" s="499" t="s">
        <v>397</v>
      </c>
      <c r="D25" s="499"/>
      <c r="E25" s="499"/>
      <c r="F25" s="291"/>
      <c r="G25" s="280"/>
      <c r="H25" s="292"/>
      <c r="I25" s="304"/>
      <c r="J25" s="292"/>
      <c r="K25" s="305"/>
      <c r="L25" s="305"/>
      <c r="M25" s="306"/>
      <c r="N25" s="296"/>
      <c r="O25" s="306"/>
      <c r="P25" s="296"/>
      <c r="Q25" s="306"/>
      <c r="R25" s="296"/>
      <c r="S25" s="306"/>
      <c r="T25" s="296"/>
    </row>
    <row r="26" spans="1:20" ht="15.95" customHeight="1">
      <c r="A26" s="215"/>
      <c r="B26" s="280"/>
      <c r="C26" s="184" t="s">
        <v>386</v>
      </c>
      <c r="D26" s="313">
        <f>+IF(B23&gt;0, B23/Gemüse_Freiland,0)</f>
        <v>0</v>
      </c>
      <c r="E26" s="280"/>
      <c r="F26" s="301"/>
      <c r="G26" s="280"/>
      <c r="H26" s="292"/>
      <c r="I26" s="292"/>
      <c r="J26" s="292"/>
      <c r="K26" s="292"/>
      <c r="L26" s="292"/>
    </row>
    <row r="27" spans="1:20" ht="6" customHeight="1">
      <c r="A27" s="215"/>
      <c r="H27" s="471"/>
      <c r="I27" s="471"/>
      <c r="J27" s="471"/>
      <c r="K27" s="471"/>
      <c r="L27" s="471"/>
    </row>
    <row r="28" spans="1:20" ht="15.95" customHeight="1">
      <c r="A28" s="215" t="s">
        <v>463</v>
      </c>
      <c r="B28" s="247">
        <v>0</v>
      </c>
      <c r="C28" s="497" t="s">
        <v>481</v>
      </c>
      <c r="D28" s="497"/>
      <c r="E28" s="497"/>
      <c r="F28" s="291">
        <f>+IF(B28&gt;S28,T28,IF(B28&gt;Q28,R28,IF(B28&gt;O28,P28,IF(B28=M28,N28,0))))</f>
        <v>0</v>
      </c>
      <c r="G28" s="202"/>
      <c r="H28" s="486" t="s">
        <v>434</v>
      </c>
      <c r="I28" s="473" t="s">
        <v>431</v>
      </c>
      <c r="J28" s="472" t="s">
        <v>432</v>
      </c>
      <c r="K28" s="472" t="s">
        <v>433</v>
      </c>
      <c r="L28" s="472" t="s">
        <v>435</v>
      </c>
      <c r="M28" s="181">
        <v>0.03</v>
      </c>
      <c r="N28" s="182">
        <v>0.5</v>
      </c>
      <c r="O28" s="181">
        <v>0.03</v>
      </c>
      <c r="P28" s="182">
        <v>1</v>
      </c>
      <c r="Q28" s="181">
        <v>0.06</v>
      </c>
      <c r="R28" s="182">
        <v>1.5</v>
      </c>
      <c r="S28" s="181">
        <v>0.09</v>
      </c>
      <c r="T28" s="182">
        <v>2</v>
      </c>
    </row>
    <row r="29" spans="1:20" ht="15.95" customHeight="1">
      <c r="A29" s="215"/>
      <c r="B29" s="314"/>
      <c r="C29" s="498" t="s">
        <v>398</v>
      </c>
      <c r="D29" s="497"/>
      <c r="E29" s="497"/>
      <c r="F29" s="291"/>
      <c r="G29" s="202"/>
      <c r="H29" s="472"/>
      <c r="I29" s="473"/>
      <c r="J29" s="472"/>
      <c r="K29" s="472"/>
      <c r="L29" s="472"/>
    </row>
    <row r="30" spans="1:20" ht="33">
      <c r="A30" s="215"/>
      <c r="B30" s="280"/>
      <c r="C30" s="303" t="s">
        <v>399</v>
      </c>
      <c r="D30" s="279">
        <f>IF(B28&gt;S28,S30,IF(B28&gt;Q28,Q30,IF(B28&gt;O28,O30,IF(B28&gt;=M28,M30,0))))</f>
        <v>0</v>
      </c>
      <c r="E30" s="499" t="s">
        <v>400</v>
      </c>
      <c r="F30" s="499"/>
      <c r="G30" s="202"/>
      <c r="H30" s="474"/>
      <c r="I30" s="474"/>
      <c r="J30" s="474"/>
      <c r="K30" s="474"/>
      <c r="L30" s="474"/>
      <c r="M30" s="181">
        <v>2</v>
      </c>
      <c r="O30" s="181">
        <v>4</v>
      </c>
      <c r="Q30" s="181">
        <v>6</v>
      </c>
      <c r="S30" s="181">
        <v>8</v>
      </c>
    </row>
    <row r="31" spans="1:20" ht="6" customHeight="1">
      <c r="A31" s="215"/>
      <c r="B31" s="280"/>
      <c r="C31" s="184"/>
      <c r="D31" s="312"/>
      <c r="E31" s="280"/>
      <c r="F31" s="301"/>
      <c r="G31" s="202"/>
      <c r="H31" s="474"/>
      <c r="I31" s="292"/>
      <c r="J31" s="292"/>
      <c r="K31" s="292"/>
      <c r="L31" s="292"/>
    </row>
    <row r="32" spans="1:20" ht="15.95" customHeight="1">
      <c r="A32" s="215" t="s">
        <v>464</v>
      </c>
      <c r="B32" s="247">
        <v>0</v>
      </c>
      <c r="C32" s="497" t="s">
        <v>401</v>
      </c>
      <c r="D32" s="497"/>
      <c r="E32" s="290"/>
      <c r="F32" s="291">
        <f>+IF(D34&gt;S32,T32,IF(D34&gt;Q32,R32,IF(D34&gt;O32,P32,IF(D34&gt;=M32,N32,0))))</f>
        <v>0</v>
      </c>
      <c r="G32" s="280"/>
      <c r="H32" s="292" t="str">
        <f>M32*100 &amp; "–" &amp; O32*100</f>
        <v>2.5–5</v>
      </c>
      <c r="I32" s="304" t="str">
        <f>"&gt;" &amp; O32*100 &amp; "–" &amp; Q32*100</f>
        <v>&gt;5–7.5</v>
      </c>
      <c r="J32" s="292" t="str">
        <f>"&gt;" &amp; Q32*100 &amp; "–" &amp; S32*100</f>
        <v>&gt;7.5–10</v>
      </c>
      <c r="K32" s="305" t="str">
        <f>"&gt;" &amp; S32*100</f>
        <v>&gt;10</v>
      </c>
      <c r="L32" s="305" t="s">
        <v>15</v>
      </c>
      <c r="M32" s="306">
        <v>2.5000000000000001E-2</v>
      </c>
      <c r="N32" s="182">
        <v>0.5</v>
      </c>
      <c r="O32" s="306">
        <v>0.05</v>
      </c>
      <c r="P32" s="182">
        <v>1</v>
      </c>
      <c r="Q32" s="306">
        <v>7.4999999999999997E-2</v>
      </c>
      <c r="R32" s="182">
        <v>1.5</v>
      </c>
      <c r="S32" s="306">
        <v>0.1</v>
      </c>
      <c r="T32" s="182">
        <v>2</v>
      </c>
    </row>
    <row r="33" spans="1:20" ht="32.25" customHeight="1">
      <c r="A33" s="215"/>
      <c r="B33" s="307"/>
      <c r="C33" s="498" t="s">
        <v>402</v>
      </c>
      <c r="D33" s="498"/>
      <c r="E33" s="297"/>
      <c r="F33" s="291"/>
      <c r="G33" s="280"/>
      <c r="H33" s="292"/>
      <c r="I33" s="304"/>
      <c r="J33" s="292"/>
      <c r="K33" s="305"/>
      <c r="L33" s="305"/>
      <c r="M33" s="306"/>
      <c r="O33" s="306"/>
      <c r="Q33" s="306"/>
      <c r="S33" s="306"/>
    </row>
    <row r="34" spans="1:20" ht="15.95" customHeight="1">
      <c r="A34" s="215"/>
      <c r="B34" s="183"/>
      <c r="C34" s="184" t="s">
        <v>386</v>
      </c>
      <c r="D34" s="315">
        <f>+IF(B32&gt;0, B32/Gemüse_Freiland,0)</f>
        <v>0</v>
      </c>
      <c r="E34" s="280"/>
      <c r="F34" s="301"/>
      <c r="G34" s="280"/>
      <c r="H34" s="292"/>
      <c r="I34" s="292"/>
      <c r="J34" s="292"/>
      <c r="K34" s="292"/>
      <c r="L34" s="292"/>
    </row>
    <row r="35" spans="1:20" ht="6" customHeight="1">
      <c r="A35" s="215"/>
      <c r="B35" s="183"/>
      <c r="C35" s="311"/>
      <c r="D35" s="280"/>
      <c r="E35" s="280"/>
      <c r="F35" s="301"/>
      <c r="G35" s="280"/>
      <c r="H35" s="292"/>
      <c r="I35" s="292"/>
      <c r="J35" s="292"/>
      <c r="K35" s="292"/>
      <c r="L35" s="292"/>
    </row>
    <row r="36" spans="1:20" ht="15.95" customHeight="1">
      <c r="A36" s="215" t="s">
        <v>465</v>
      </c>
      <c r="B36" s="480">
        <v>0</v>
      </c>
      <c r="C36" s="497" t="s">
        <v>403</v>
      </c>
      <c r="D36" s="497"/>
      <c r="E36" s="290"/>
      <c r="F36" s="291">
        <f>+IF(B36&gt;=S36,T36,IF(B36=Q36,R36,IF(B36=O36,P36,IF(B36=M36,N36,0))))</f>
        <v>0</v>
      </c>
      <c r="G36" s="280"/>
      <c r="H36" s="292">
        <v>5</v>
      </c>
      <c r="I36" s="304">
        <v>6</v>
      </c>
      <c r="J36" s="292">
        <v>7</v>
      </c>
      <c r="K36" s="292" t="s">
        <v>436</v>
      </c>
      <c r="L36" s="292" t="s">
        <v>437</v>
      </c>
      <c r="M36" s="181">
        <v>5</v>
      </c>
      <c r="N36" s="182">
        <v>0.5</v>
      </c>
      <c r="O36" s="181">
        <v>6</v>
      </c>
      <c r="P36" s="182">
        <v>1</v>
      </c>
      <c r="Q36" s="181">
        <v>7</v>
      </c>
      <c r="R36" s="182">
        <v>1.5</v>
      </c>
      <c r="S36" s="181">
        <v>8</v>
      </c>
      <c r="T36" s="182">
        <v>2</v>
      </c>
    </row>
    <row r="37" spans="1:20" ht="15.95" customHeight="1">
      <c r="A37" s="215"/>
      <c r="B37" s="215"/>
      <c r="C37" s="478" t="s">
        <v>404</v>
      </c>
      <c r="D37" s="478"/>
      <c r="E37" s="290"/>
      <c r="F37" s="291"/>
      <c r="G37" s="280"/>
      <c r="H37" s="292"/>
      <c r="I37" s="292"/>
      <c r="J37" s="292"/>
      <c r="K37" s="298"/>
      <c r="L37" s="298"/>
    </row>
    <row r="38" spans="1:20" ht="30" customHeight="1">
      <c r="A38" s="307"/>
      <c r="B38" s="307"/>
      <c r="C38" s="498" t="s">
        <v>405</v>
      </c>
      <c r="D38" s="498"/>
      <c r="E38" s="498"/>
      <c r="F38" s="291"/>
      <c r="G38" s="280"/>
      <c r="H38" s="292"/>
      <c r="I38" s="304"/>
      <c r="J38" s="292"/>
      <c r="K38" s="292"/>
      <c r="L38" s="292"/>
    </row>
    <row r="39" spans="1:20" ht="6" customHeight="1">
      <c r="A39" s="280"/>
      <c r="B39" s="280"/>
      <c r="C39" s="280"/>
      <c r="D39" s="280"/>
      <c r="E39" s="280"/>
      <c r="F39" s="202"/>
      <c r="G39" s="280"/>
      <c r="H39" s="302"/>
      <c r="I39" s="302"/>
      <c r="J39" s="302"/>
      <c r="K39" s="302"/>
      <c r="L39" s="292"/>
    </row>
    <row r="40" spans="1:20" ht="20.100000000000001" customHeight="1">
      <c r="A40" s="517" t="s">
        <v>406</v>
      </c>
      <c r="B40" s="517"/>
      <c r="C40" s="517"/>
      <c r="D40" s="517"/>
      <c r="E40" s="517"/>
      <c r="F40" s="517"/>
      <c r="G40" s="517"/>
      <c r="H40" s="433" t="s">
        <v>120</v>
      </c>
      <c r="I40" s="433" t="s">
        <v>119</v>
      </c>
      <c r="J40" s="433" t="s">
        <v>381</v>
      </c>
      <c r="K40" s="433" t="s">
        <v>117</v>
      </c>
      <c r="L40" s="485" t="s">
        <v>439</v>
      </c>
      <c r="M40" s="279"/>
      <c r="N40" s="279"/>
      <c r="O40" s="279"/>
      <c r="P40" s="279"/>
      <c r="Q40" s="279"/>
      <c r="R40" s="279"/>
      <c r="S40" s="279"/>
      <c r="T40" s="279"/>
    </row>
    <row r="41" spans="1:20" ht="6" customHeight="1">
      <c r="A41" s="280"/>
      <c r="B41" s="280"/>
      <c r="C41" s="280"/>
      <c r="D41" s="312"/>
      <c r="E41" s="280"/>
      <c r="F41" s="202"/>
      <c r="G41" s="280"/>
      <c r="H41" s="302"/>
      <c r="I41" s="302"/>
      <c r="J41" s="302"/>
      <c r="K41" s="302"/>
      <c r="L41" s="292"/>
    </row>
    <row r="42" spans="1:20" ht="15.95" customHeight="1">
      <c r="A42" s="215" t="s">
        <v>466</v>
      </c>
      <c r="B42" s="247">
        <v>0</v>
      </c>
      <c r="C42" s="497" t="s">
        <v>407</v>
      </c>
      <c r="D42" s="497"/>
      <c r="E42" s="290"/>
      <c r="F42" s="291">
        <f>+IF(D44&gt;S42,T42,IF(D44&gt;Q42,R42,IF(D44&gt;O42,P42,IF(D44&gt;=M42,N42,0))))</f>
        <v>0</v>
      </c>
      <c r="G42" s="280"/>
      <c r="H42" s="292" t="str">
        <f>M42*100 &amp; "–" &amp; O42*100</f>
        <v>1–1.5</v>
      </c>
      <c r="I42" s="292" t="str">
        <f>"&gt;" &amp; O42*100 &amp; "–" &amp; Q42*100</f>
        <v>&gt;1.5–2</v>
      </c>
      <c r="J42" s="292" t="str">
        <f>"&gt;" &amp; Q42*100 &amp; "–" &amp; S42*100</f>
        <v>&gt;2–2.5</v>
      </c>
      <c r="K42" s="305" t="str">
        <f>"&gt;" &amp; S42*100</f>
        <v>&gt;2.5</v>
      </c>
      <c r="L42" s="305" t="s">
        <v>15</v>
      </c>
      <c r="M42" s="306">
        <v>0.01</v>
      </c>
      <c r="N42" s="182">
        <v>0.5</v>
      </c>
      <c r="O42" s="306">
        <v>1.4999999999999999E-2</v>
      </c>
      <c r="P42" s="182">
        <v>1</v>
      </c>
      <c r="Q42" s="306">
        <v>0.02</v>
      </c>
      <c r="R42" s="182">
        <v>1.5</v>
      </c>
      <c r="S42" s="306">
        <v>2.5000000000000001E-2</v>
      </c>
      <c r="T42" s="182">
        <v>2</v>
      </c>
    </row>
    <row r="43" spans="1:20" ht="15.95" customHeight="1">
      <c r="A43" s="215"/>
      <c r="B43" s="297"/>
      <c r="C43" s="497" t="s">
        <v>408</v>
      </c>
      <c r="D43" s="497"/>
      <c r="E43" s="297"/>
      <c r="F43" s="291"/>
      <c r="G43" s="280"/>
      <c r="H43" s="292"/>
      <c r="I43" s="292"/>
      <c r="J43" s="292"/>
      <c r="K43" s="305"/>
      <c r="L43" s="305"/>
      <c r="M43" s="306"/>
      <c r="O43" s="306"/>
      <c r="Q43" s="306"/>
      <c r="S43" s="306"/>
    </row>
    <row r="44" spans="1:20" ht="15.95" customHeight="1">
      <c r="A44" s="215"/>
      <c r="B44" s="183"/>
      <c r="C44" s="184" t="s">
        <v>409</v>
      </c>
      <c r="D44" s="316">
        <f>+IF(B42&gt;0, B42/Gemüse_geschützt,0)</f>
        <v>0</v>
      </c>
      <c r="E44" s="280"/>
      <c r="F44" s="301"/>
      <c r="G44" s="280"/>
      <c r="H44" s="292"/>
      <c r="I44" s="292"/>
      <c r="J44" s="292"/>
      <c r="K44" s="292"/>
      <c r="L44" s="292"/>
    </row>
    <row r="45" spans="1:20" ht="6" customHeight="1">
      <c r="A45" s="215"/>
      <c r="B45" s="280"/>
      <c r="C45" s="280"/>
      <c r="D45" s="280"/>
      <c r="E45" s="280"/>
      <c r="F45" s="301"/>
      <c r="G45" s="280"/>
      <c r="H45" s="292"/>
      <c r="I45" s="292"/>
      <c r="J45" s="292"/>
      <c r="K45" s="292"/>
      <c r="L45" s="292"/>
    </row>
    <row r="46" spans="1:20" ht="15.95" customHeight="1">
      <c r="A46" s="215" t="s">
        <v>467</v>
      </c>
      <c r="B46" s="247">
        <v>0</v>
      </c>
      <c r="C46" s="497" t="s">
        <v>410</v>
      </c>
      <c r="D46" s="497"/>
      <c r="E46" s="290"/>
      <c r="F46" s="291">
        <f>+IF(D48&gt;Q46,R46,IF(D48&gt;O46,P46,IF(D48&gt;=M46,N46,0)))</f>
        <v>0</v>
      </c>
      <c r="G46" s="280"/>
      <c r="H46" s="475"/>
      <c r="I46" s="292" t="str">
        <f>M46*100 &amp; "-" &amp; O46*100</f>
        <v>5-10</v>
      </c>
      <c r="J46" s="292" t="str">
        <f>"&gt;" &amp; O46*100 &amp; "–" &amp; Q46*100</f>
        <v>&gt;10–15</v>
      </c>
      <c r="K46" s="305" t="str">
        <f>"&gt;" &amp; Q46*100</f>
        <v>&gt;15</v>
      </c>
      <c r="L46" s="305" t="s">
        <v>15</v>
      </c>
      <c r="M46" s="306">
        <v>0.05</v>
      </c>
      <c r="N46" s="182">
        <v>1</v>
      </c>
      <c r="O46" s="306">
        <v>0.1</v>
      </c>
      <c r="P46" s="182">
        <v>1.5</v>
      </c>
      <c r="Q46" s="306">
        <v>0.15</v>
      </c>
      <c r="R46" s="182">
        <v>2</v>
      </c>
    </row>
    <row r="47" spans="1:20" ht="30" customHeight="1">
      <c r="A47" s="297"/>
      <c r="B47" s="297"/>
      <c r="C47" s="498" t="s">
        <v>411</v>
      </c>
      <c r="D47" s="498"/>
      <c r="E47" s="297"/>
      <c r="F47" s="291"/>
      <c r="G47" s="280"/>
      <c r="H47" s="317"/>
      <c r="I47" s="304"/>
      <c r="J47" s="292"/>
      <c r="K47" s="305"/>
      <c r="L47" s="305"/>
      <c r="M47" s="306"/>
      <c r="O47" s="306"/>
      <c r="Q47" s="306"/>
    </row>
    <row r="48" spans="1:20" ht="15.95" customHeight="1">
      <c r="A48" s="215"/>
      <c r="B48" s="280"/>
      <c r="C48" s="184" t="s">
        <v>409</v>
      </c>
      <c r="D48" s="316">
        <f>+IF(B46&gt;0, B46/Gemüse_geschützt,0)</f>
        <v>0</v>
      </c>
      <c r="E48" s="280"/>
      <c r="F48" s="301"/>
      <c r="G48" s="280"/>
      <c r="H48" s="302"/>
      <c r="I48" s="302"/>
      <c r="J48" s="302"/>
      <c r="K48" s="302"/>
      <c r="L48" s="292"/>
    </row>
    <row r="49" spans="1:21" ht="6" customHeight="1">
      <c r="A49" s="215"/>
      <c r="B49" s="280"/>
      <c r="C49" s="280"/>
      <c r="D49" s="280"/>
      <c r="E49" s="280"/>
      <c r="F49" s="301"/>
      <c r="G49" s="280"/>
      <c r="H49" s="302"/>
      <c r="I49" s="302"/>
      <c r="J49" s="302"/>
      <c r="K49" s="302"/>
      <c r="L49" s="292"/>
    </row>
    <row r="50" spans="1:21" ht="28.5" customHeight="1">
      <c r="A50" s="215" t="s">
        <v>468</v>
      </c>
      <c r="B50" s="247">
        <v>0</v>
      </c>
      <c r="C50" s="516" t="s">
        <v>482</v>
      </c>
      <c r="D50" s="516"/>
      <c r="E50" s="290"/>
      <c r="F50" s="291">
        <f>+IF(B46&gt;0,IF(B50/B46&gt;=M50,1,0),0)</f>
        <v>0</v>
      </c>
      <c r="G50" s="280"/>
      <c r="H50" s="319"/>
      <c r="I50" s="292" t="str">
        <f>_xlfn.CONCAT("&gt;=",M50*100,"%")</f>
        <v>&gt;=10%</v>
      </c>
      <c r="J50" s="319"/>
      <c r="K50" s="319"/>
      <c r="L50" s="476"/>
      <c r="M50" s="306">
        <v>0.1</v>
      </c>
      <c r="N50" s="182">
        <v>1</v>
      </c>
    </row>
    <row r="51" spans="1:21" ht="6" customHeight="1">
      <c r="A51" s="215"/>
      <c r="B51" s="280"/>
      <c r="C51" s="280"/>
      <c r="D51" s="318"/>
      <c r="E51" s="280"/>
      <c r="F51" s="301"/>
      <c r="G51" s="280"/>
      <c r="H51" s="302"/>
      <c r="I51" s="302"/>
      <c r="J51" s="302"/>
      <c r="K51" s="302"/>
      <c r="L51" s="292"/>
    </row>
    <row r="52" spans="1:21" ht="20.100000000000001" customHeight="1">
      <c r="A52" s="517" t="s">
        <v>412</v>
      </c>
      <c r="B52" s="517"/>
      <c r="C52" s="517"/>
      <c r="D52" s="517"/>
      <c r="E52" s="517"/>
      <c r="F52" s="517"/>
      <c r="G52" s="517"/>
      <c r="H52" s="433" t="s">
        <v>120</v>
      </c>
      <c r="I52" s="433" t="s">
        <v>119</v>
      </c>
      <c r="J52" s="433" t="s">
        <v>118</v>
      </c>
      <c r="K52" s="433" t="s">
        <v>382</v>
      </c>
      <c r="L52" s="485" t="s">
        <v>439</v>
      </c>
      <c r="M52" s="279"/>
      <c r="N52" s="279"/>
      <c r="O52" s="279"/>
      <c r="P52" s="279"/>
      <c r="Q52" s="279"/>
      <c r="R52" s="279"/>
      <c r="S52" s="279"/>
      <c r="T52" s="279"/>
    </row>
    <row r="53" spans="1:21" ht="6" customHeight="1">
      <c r="A53" s="280"/>
      <c r="B53" s="280"/>
      <c r="C53" s="280"/>
      <c r="D53" s="318"/>
      <c r="E53" s="280"/>
      <c r="F53" s="301"/>
      <c r="G53" s="280"/>
      <c r="H53" s="302"/>
      <c r="I53" s="302"/>
      <c r="J53" s="302"/>
      <c r="K53" s="302"/>
      <c r="L53" s="292"/>
    </row>
    <row r="54" spans="1:21" ht="15.95" customHeight="1">
      <c r="A54" s="215" t="s">
        <v>469</v>
      </c>
      <c r="B54" s="247">
        <v>0</v>
      </c>
      <c r="C54" s="497" t="s">
        <v>413</v>
      </c>
      <c r="D54" s="498"/>
      <c r="E54" s="280"/>
      <c r="F54" s="291">
        <f>+IF(D55&gt;S54,T54,IF(D55&gt;Q54,R54,IF(D55&gt;O54,P54,IF(D55&gt;=M54,N54,0))))</f>
        <v>0</v>
      </c>
      <c r="G54" s="280"/>
      <c r="H54" s="292" t="str">
        <f>M54*100 &amp; "–" &amp; O54*100</f>
        <v>1–5</v>
      </c>
      <c r="I54" s="292" t="str">
        <f>"&gt;" &amp; O54*100 &amp; "–" &amp; Q54*100</f>
        <v>&gt;5–10</v>
      </c>
      <c r="J54" s="292" t="str">
        <f>"&gt;" &amp; Q54*100 &amp; "–" &amp; S54*100</f>
        <v>&gt;10–15</v>
      </c>
      <c r="K54" s="305" t="str">
        <f>"&gt;" &amp; S54*100</f>
        <v>&gt;15</v>
      </c>
      <c r="L54" s="305" t="s">
        <v>15</v>
      </c>
      <c r="M54" s="306">
        <v>0.01</v>
      </c>
      <c r="N54" s="182">
        <v>0.5</v>
      </c>
      <c r="O54" s="306">
        <v>0.05</v>
      </c>
      <c r="P54" s="182">
        <v>1</v>
      </c>
      <c r="Q54" s="306">
        <v>0.1</v>
      </c>
      <c r="R54" s="182">
        <v>1.5</v>
      </c>
      <c r="S54" s="306">
        <v>0.15</v>
      </c>
      <c r="T54" s="182">
        <v>2</v>
      </c>
    </row>
    <row r="55" spans="1:21" ht="33">
      <c r="A55" s="215"/>
      <c r="B55" s="183"/>
      <c r="C55" s="297" t="s">
        <v>455</v>
      </c>
      <c r="D55" s="316">
        <f>+IF(B54&gt;0, B54/Gemüse_Freiland,0)</f>
        <v>0</v>
      </c>
      <c r="E55" s="308"/>
      <c r="F55" s="301"/>
      <c r="G55" s="280"/>
      <c r="H55" s="292"/>
      <c r="I55" s="292"/>
      <c r="J55" s="292"/>
      <c r="K55" s="292"/>
      <c r="L55" s="292"/>
      <c r="U55" s="309"/>
    </row>
    <row r="56" spans="1:21" ht="6" customHeight="1">
      <c r="A56" s="215"/>
      <c r="B56" s="183"/>
      <c r="C56" s="311"/>
      <c r="D56" s="318"/>
      <c r="E56" s="280"/>
      <c r="F56" s="301"/>
      <c r="G56" s="280"/>
      <c r="H56" s="292"/>
      <c r="I56" s="292"/>
      <c r="J56" s="292"/>
      <c r="K56" s="292"/>
      <c r="L56" s="292"/>
    </row>
    <row r="57" spans="1:21" ht="15.95" customHeight="1">
      <c r="A57" s="215" t="s">
        <v>470</v>
      </c>
      <c r="B57" s="247">
        <v>0</v>
      </c>
      <c r="C57" s="497" t="s">
        <v>416</v>
      </c>
      <c r="D57" s="497"/>
      <c r="E57" s="280"/>
      <c r="F57" s="291">
        <f>+IF(D59&gt;S57,T57,IF(D59&gt;Q57,R57,IF(D59&gt;O57,P57,IF(D59&gt;=M57,N57,0))))</f>
        <v>0</v>
      </c>
      <c r="G57" s="280"/>
      <c r="H57" s="292" t="str">
        <f>M57*100 &amp; "–" &amp; O57*100</f>
        <v>1–20</v>
      </c>
      <c r="I57" s="292" t="str">
        <f>"&gt;" &amp; O57*100 &amp; "–" &amp; Q57*100</f>
        <v>&gt;20–60</v>
      </c>
      <c r="J57" s="292" t="str">
        <f>"&gt;" &amp; Q57*100 &amp; "–" &amp; S57*100</f>
        <v>&gt;60–80</v>
      </c>
      <c r="K57" s="305" t="str">
        <f>"&gt;" &amp; S57*100</f>
        <v>&gt;80</v>
      </c>
      <c r="L57" s="305" t="s">
        <v>15</v>
      </c>
      <c r="M57" s="306">
        <v>0.01</v>
      </c>
      <c r="N57" s="182">
        <v>0.5</v>
      </c>
      <c r="O57" s="306">
        <v>0.2</v>
      </c>
      <c r="P57" s="182">
        <v>1</v>
      </c>
      <c r="Q57" s="306">
        <v>0.6</v>
      </c>
      <c r="R57" s="182">
        <v>1.5</v>
      </c>
      <c r="S57" s="306">
        <v>0.8</v>
      </c>
      <c r="T57" s="182">
        <v>2</v>
      </c>
    </row>
    <row r="58" spans="1:21" ht="15.75" hidden="1" customHeight="1">
      <c r="A58" s="215"/>
      <c r="B58" s="478"/>
      <c r="C58" s="490" t="s">
        <v>454</v>
      </c>
      <c r="D58" s="478"/>
      <c r="E58" s="280"/>
      <c r="F58" s="291"/>
      <c r="G58" s="280"/>
      <c r="H58" s="292"/>
      <c r="I58" s="292"/>
      <c r="J58" s="292"/>
      <c r="K58" s="305"/>
      <c r="L58" s="305"/>
      <c r="M58" s="306"/>
      <c r="O58" s="306"/>
      <c r="Q58" s="306"/>
      <c r="S58" s="306"/>
    </row>
    <row r="59" spans="1:21" ht="15.95" customHeight="1">
      <c r="A59" s="215"/>
      <c r="B59" s="183"/>
      <c r="C59" s="184" t="s">
        <v>386</v>
      </c>
      <c r="D59" s="321">
        <f>+IF(B57&gt;0, B57/Gemüse_Freiland,0)</f>
        <v>0</v>
      </c>
      <c r="E59" s="308"/>
      <c r="F59" s="301"/>
      <c r="G59" s="280"/>
      <c r="H59" s="477"/>
      <c r="I59" s="477"/>
      <c r="J59" s="477"/>
      <c r="K59" s="477"/>
      <c r="L59" s="477"/>
    </row>
    <row r="60" spans="1:21" ht="15.95" customHeight="1">
      <c r="A60" s="215"/>
      <c r="B60" s="183"/>
      <c r="C60" s="184" t="s">
        <v>417</v>
      </c>
      <c r="D60" s="329"/>
      <c r="E60" s="308"/>
      <c r="F60" s="301"/>
      <c r="G60" s="280"/>
      <c r="H60" s="477"/>
      <c r="I60" s="477"/>
      <c r="J60" s="477"/>
      <c r="K60" s="477"/>
      <c r="L60" s="477"/>
    </row>
    <row r="61" spans="1:21" ht="6" customHeight="1">
      <c r="A61" s="215"/>
      <c r="B61" s="183"/>
      <c r="C61" s="311"/>
      <c r="D61" s="318"/>
      <c r="E61" s="280"/>
      <c r="F61" s="301"/>
      <c r="G61" s="280"/>
      <c r="H61" s="477"/>
      <c r="I61" s="477"/>
      <c r="J61" s="477"/>
      <c r="K61" s="477"/>
      <c r="L61" s="477"/>
    </row>
    <row r="62" spans="1:21" ht="15.95" customHeight="1">
      <c r="A62" s="215" t="s">
        <v>471</v>
      </c>
      <c r="B62" s="247">
        <v>0</v>
      </c>
      <c r="C62" s="497" t="s">
        <v>414</v>
      </c>
      <c r="D62" s="497"/>
      <c r="E62" s="280"/>
      <c r="F62" s="291">
        <f>+IF(D63&gt;S62,T62,IF(D63&gt;Q62,R62,IF(D63&gt;O62,P62,IF(D63&gt;=M62,N62,0))))</f>
        <v>0</v>
      </c>
      <c r="G62" s="280"/>
      <c r="H62" s="292" t="str">
        <f>M62*100 &amp; "–" &amp; O62*100</f>
        <v>0–0</v>
      </c>
      <c r="I62" s="292" t="str">
        <f>"&gt;" &amp; O62*100 &amp; "–" &amp; Q62*100</f>
        <v>&gt;0–0</v>
      </c>
      <c r="J62" s="292" t="str">
        <f>"&gt;" &amp; Q62*100 &amp; "–" &amp; S62*100</f>
        <v>&gt;0–0</v>
      </c>
      <c r="K62" s="305" t="str">
        <f>"&gt;" &amp; S62*100</f>
        <v>&gt;0</v>
      </c>
      <c r="L62" s="305" t="s">
        <v>15</v>
      </c>
    </row>
    <row r="63" spans="1:21" ht="15.95" customHeight="1">
      <c r="A63" s="215"/>
      <c r="B63" s="183"/>
      <c r="C63" s="184" t="s">
        <v>386</v>
      </c>
      <c r="D63" s="321">
        <f>+IF(B62&gt;0, B62/Gemüse_Freiland,0)</f>
        <v>0</v>
      </c>
      <c r="E63" s="308"/>
      <c r="F63" s="301"/>
      <c r="G63" s="280"/>
      <c r="H63" s="477"/>
      <c r="I63" s="477"/>
      <c r="J63" s="477"/>
      <c r="K63" s="477"/>
      <c r="L63" s="477"/>
    </row>
    <row r="64" spans="1:21" ht="15.95" customHeight="1">
      <c r="A64" s="215"/>
      <c r="B64" s="183"/>
      <c r="C64" s="184" t="s">
        <v>417</v>
      </c>
      <c r="D64" s="329"/>
      <c r="E64" s="308"/>
      <c r="F64" s="301"/>
      <c r="G64" s="280"/>
      <c r="H64" s="477"/>
      <c r="I64" s="477"/>
      <c r="J64" s="477"/>
      <c r="K64" s="477"/>
      <c r="L64" s="477"/>
    </row>
    <row r="65" spans="1:20" ht="6" customHeight="1">
      <c r="A65" s="215"/>
      <c r="B65" s="183"/>
      <c r="C65" s="311"/>
      <c r="D65" s="318"/>
      <c r="E65" s="280"/>
      <c r="F65" s="301"/>
      <c r="G65" s="280"/>
      <c r="H65" s="477"/>
      <c r="I65" s="477"/>
      <c r="J65" s="477"/>
      <c r="K65" s="477"/>
      <c r="L65" s="477"/>
    </row>
    <row r="66" spans="1:20" ht="15.95" customHeight="1">
      <c r="A66" s="215" t="s">
        <v>472</v>
      </c>
      <c r="B66" s="247">
        <v>0</v>
      </c>
      <c r="C66" s="496" t="s">
        <v>415</v>
      </c>
      <c r="D66" s="496"/>
      <c r="E66" s="308"/>
      <c r="F66" s="291">
        <f>+IF(D67&gt;S66,T66,IF(D67&gt;Q66,R66,IF(D67&gt;O66,P66,IF(D67&gt;=M66,N66,0))))</f>
        <v>0</v>
      </c>
      <c r="G66" s="280"/>
      <c r="H66" s="292" t="str">
        <f>M66*100 &amp; "–" &amp; O66*100</f>
        <v>5–10</v>
      </c>
      <c r="I66" s="292" t="str">
        <f>"&gt;" &amp; O66*100 &amp; "–" &amp; Q66*100</f>
        <v>&gt;10–30</v>
      </c>
      <c r="J66" s="292" t="str">
        <f>"&gt;" &amp; Q66*100 &amp; "–" &amp; S66*100</f>
        <v>&gt;30–60</v>
      </c>
      <c r="K66" s="305" t="str">
        <f>"&gt;" &amp; S66*100</f>
        <v>&gt;60</v>
      </c>
      <c r="L66" s="305" t="s">
        <v>15</v>
      </c>
      <c r="M66" s="306">
        <v>0.05</v>
      </c>
      <c r="N66" s="182">
        <v>0.5</v>
      </c>
      <c r="O66" s="306">
        <v>0.1</v>
      </c>
      <c r="P66" s="182">
        <v>1</v>
      </c>
      <c r="Q66" s="306">
        <v>0.3</v>
      </c>
      <c r="R66" s="182">
        <v>1.5</v>
      </c>
      <c r="S66" s="306">
        <v>0.6</v>
      </c>
      <c r="T66" s="182">
        <v>2</v>
      </c>
    </row>
    <row r="67" spans="1:20" ht="15.95" customHeight="1">
      <c r="A67" s="215"/>
      <c r="B67" s="183"/>
      <c r="C67" s="184" t="s">
        <v>386</v>
      </c>
      <c r="D67" s="321">
        <f>+IF(B66&gt;0, B66/Gemüse_Freiland,0)</f>
        <v>0</v>
      </c>
      <c r="E67" s="308"/>
      <c r="F67" s="202"/>
      <c r="G67" s="280"/>
      <c r="H67" s="477"/>
      <c r="I67" s="477"/>
      <c r="J67" s="477"/>
      <c r="K67" s="477"/>
      <c r="L67" s="477"/>
    </row>
    <row r="68" spans="1:20" ht="15.95" customHeight="1">
      <c r="A68" s="215"/>
      <c r="B68" s="183"/>
      <c r="C68" s="184" t="s">
        <v>417</v>
      </c>
      <c r="D68" s="329"/>
      <c r="E68" s="308"/>
      <c r="F68" s="301"/>
      <c r="G68" s="280"/>
      <c r="H68" s="292"/>
      <c r="I68" s="477"/>
      <c r="J68" s="477"/>
      <c r="K68" s="477"/>
      <c r="L68" s="477"/>
    </row>
    <row r="69" spans="1:20" ht="6" customHeight="1">
      <c r="A69" s="215"/>
      <c r="B69" s="183"/>
      <c r="C69" s="184"/>
      <c r="D69" s="322"/>
      <c r="E69" s="308"/>
      <c r="F69" s="202"/>
      <c r="G69" s="280"/>
      <c r="H69" s="477"/>
      <c r="I69" s="477"/>
      <c r="J69" s="477"/>
      <c r="K69" s="477"/>
      <c r="L69" s="477"/>
    </row>
    <row r="70" spans="1:20" ht="15.95" customHeight="1">
      <c r="A70" s="215" t="s">
        <v>473</v>
      </c>
      <c r="B70" s="247">
        <v>0</v>
      </c>
      <c r="C70" s="496" t="s">
        <v>418</v>
      </c>
      <c r="D70" s="496"/>
      <c r="E70" s="308"/>
      <c r="F70" s="291">
        <f>+IF(D71&gt;S70,T70,IF(D71&gt;Q70,R70,IF(D71&gt;O70,P70,IF(D71&gt;=M70,N70,0))))</f>
        <v>0</v>
      </c>
      <c r="G70" s="280"/>
      <c r="H70" s="292" t="str">
        <f>M70*100 &amp; "–" &amp; O70*100</f>
        <v>1–5</v>
      </c>
      <c r="I70" s="292" t="str">
        <f>"&gt;" &amp; O70*100 &amp; "–" &amp; Q70*100</f>
        <v>&gt;5–10</v>
      </c>
      <c r="J70" s="292" t="str">
        <f>"&gt;" &amp; Q70*100 &amp; "–" &amp; S70*100</f>
        <v>&gt;10–15</v>
      </c>
      <c r="K70" s="305" t="str">
        <f>"&gt;" &amp; S70*100</f>
        <v>&gt;15</v>
      </c>
      <c r="L70" s="305" t="s">
        <v>15</v>
      </c>
      <c r="M70" s="306">
        <v>0.01</v>
      </c>
      <c r="N70" s="182">
        <v>0.5</v>
      </c>
      <c r="O70" s="306">
        <v>0.05</v>
      </c>
      <c r="P70" s="182">
        <v>1</v>
      </c>
      <c r="Q70" s="306">
        <v>0.1</v>
      </c>
      <c r="R70" s="182">
        <v>1.5</v>
      </c>
      <c r="S70" s="306">
        <v>0.15</v>
      </c>
      <c r="T70" s="182">
        <v>2</v>
      </c>
    </row>
    <row r="71" spans="1:20" ht="15.95" customHeight="1">
      <c r="A71" s="215"/>
      <c r="B71" s="183"/>
      <c r="C71" s="184" t="s">
        <v>386</v>
      </c>
      <c r="D71" s="315">
        <f>+IF(B70&gt;0, B70/Gemüse_Freiland,0)</f>
        <v>0</v>
      </c>
      <c r="E71" s="308"/>
      <c r="F71" s="202"/>
      <c r="G71" s="280"/>
      <c r="H71" s="320"/>
      <c r="I71" s="320"/>
      <c r="J71" s="320"/>
      <c r="K71" s="320"/>
      <c r="L71" s="477"/>
    </row>
    <row r="72" spans="1:20" ht="15.95" customHeight="1">
      <c r="A72" s="215"/>
      <c r="B72" s="183"/>
      <c r="C72" s="184" t="s">
        <v>417</v>
      </c>
      <c r="D72" s="329"/>
      <c r="E72" s="308"/>
      <c r="F72" s="301"/>
      <c r="G72" s="280"/>
      <c r="H72" s="302"/>
      <c r="I72" s="320"/>
      <c r="J72" s="320"/>
      <c r="K72" s="320"/>
      <c r="L72" s="292"/>
    </row>
    <row r="73" spans="1:20" ht="6" customHeight="1">
      <c r="A73" s="215"/>
      <c r="B73" s="183"/>
      <c r="C73" s="311"/>
      <c r="D73" s="318"/>
      <c r="E73" s="280"/>
      <c r="F73" s="301"/>
      <c r="G73" s="280"/>
      <c r="H73" s="320"/>
      <c r="I73" s="320"/>
      <c r="J73" s="320"/>
      <c r="K73" s="320"/>
      <c r="L73" s="292"/>
    </row>
    <row r="74" spans="1:20" ht="15.95" customHeight="1">
      <c r="A74" s="215" t="s">
        <v>474</v>
      </c>
      <c r="B74" s="247">
        <v>0</v>
      </c>
      <c r="C74" s="497" t="s">
        <v>419</v>
      </c>
      <c r="D74" s="497"/>
      <c r="E74" s="323"/>
      <c r="F74" s="291">
        <f>+IF(D75&gt;S74,T74,IF(D75&gt;Q74,R74,IF(D75&gt;O74,P74,IF(D75&gt;=M74,N74,0))))</f>
        <v>0</v>
      </c>
      <c r="G74" s="280"/>
      <c r="H74" s="292" t="str">
        <f>M74*100 &amp; " - " &amp; O74*100 &amp; " %"</f>
        <v>5 - 10 %</v>
      </c>
      <c r="I74" s="292" t="str">
        <f>"&gt;" &amp; O74*100 &amp; " - " &amp; Q74*100 &amp; " %"</f>
        <v>&gt;10 - 15 %</v>
      </c>
      <c r="J74" s="292" t="str">
        <f>"&gt;" &amp; Q74*100 &amp; " - " &amp; S74*100 &amp; " %"</f>
        <v>&gt;15 - 20 %</v>
      </c>
      <c r="K74" s="305" t="str">
        <f>"&gt;" &amp; S74*100 &amp; " %"</f>
        <v>&gt;20 %</v>
      </c>
      <c r="L74" s="292"/>
      <c r="M74" s="306">
        <v>0.05</v>
      </c>
      <c r="N74" s="182">
        <v>0.5</v>
      </c>
      <c r="O74" s="306">
        <v>0.1</v>
      </c>
      <c r="P74" s="182">
        <v>1</v>
      </c>
      <c r="Q74" s="306">
        <v>0.15</v>
      </c>
      <c r="R74" s="182">
        <v>1.5</v>
      </c>
      <c r="S74" s="306">
        <v>0.2</v>
      </c>
      <c r="T74" s="182">
        <v>2</v>
      </c>
    </row>
    <row r="75" spans="1:20" ht="15.95" customHeight="1">
      <c r="A75" s="215"/>
      <c r="B75" s="183"/>
      <c r="C75" s="184" t="s">
        <v>386</v>
      </c>
      <c r="D75" s="321">
        <f>+IF(B74&gt;0, B74/Gemüse_Freiland,0)</f>
        <v>0</v>
      </c>
      <c r="E75" s="323"/>
      <c r="F75" s="202"/>
      <c r="G75" s="202"/>
      <c r="H75" s="320"/>
      <c r="I75" s="320"/>
      <c r="J75" s="320"/>
      <c r="K75" s="320"/>
      <c r="L75" s="292"/>
    </row>
    <row r="76" spans="1:20" ht="15.95" customHeight="1">
      <c r="A76" s="215"/>
      <c r="B76" s="324"/>
      <c r="C76" s="184" t="s">
        <v>417</v>
      </c>
      <c r="D76" s="329"/>
      <c r="E76" s="308"/>
      <c r="F76" s="301"/>
      <c r="G76" s="280"/>
      <c r="H76" s="302"/>
      <c r="I76" s="302"/>
      <c r="J76" s="302"/>
      <c r="K76" s="302"/>
      <c r="L76" s="292"/>
    </row>
    <row r="77" spans="1:20" ht="6" customHeight="1">
      <c r="H77" s="310"/>
      <c r="I77" s="310"/>
      <c r="J77" s="310"/>
      <c r="K77" s="310"/>
      <c r="L77" s="292"/>
    </row>
    <row r="78" spans="1:20" ht="20.100000000000001" customHeight="1">
      <c r="A78" s="431" t="s">
        <v>420</v>
      </c>
      <c r="B78" s="431"/>
      <c r="C78" s="436"/>
      <c r="D78" s="436"/>
      <c r="E78" s="436"/>
      <c r="F78" s="482">
        <f>SUM(F9:F76)</f>
        <v>0</v>
      </c>
      <c r="G78" s="436"/>
      <c r="H78" s="436"/>
      <c r="I78" s="436"/>
      <c r="J78" s="436"/>
      <c r="K78" s="436"/>
      <c r="L78" s="436"/>
      <c r="M78" s="279"/>
      <c r="N78" s="279"/>
      <c r="O78" s="279"/>
      <c r="P78" s="279"/>
      <c r="Q78" s="279"/>
      <c r="R78" s="279"/>
      <c r="S78" s="279"/>
      <c r="T78" s="279"/>
    </row>
    <row r="79" spans="1:20" ht="15.95" customHeight="1">
      <c r="C79" s="325" t="s">
        <v>387</v>
      </c>
      <c r="D79" s="315">
        <f>(Gemüse_Freiland+Gemüse_geschützt)/data!SAU</f>
        <v>0</v>
      </c>
      <c r="E79" s="325"/>
      <c r="F79" s="326"/>
      <c r="G79" s="327"/>
      <c r="H79" s="280"/>
      <c r="I79" s="280"/>
      <c r="J79" s="280"/>
      <c r="K79" s="280"/>
      <c r="L79" s="280"/>
    </row>
    <row r="80" spans="1:20" ht="6" customHeight="1">
      <c r="A80" s="325"/>
      <c r="B80" s="325"/>
      <c r="C80" s="325"/>
      <c r="D80" s="325"/>
      <c r="E80" s="325"/>
      <c r="F80" s="328"/>
      <c r="G80" s="327"/>
      <c r="H80" s="280"/>
      <c r="I80" s="280"/>
      <c r="J80" s="280"/>
      <c r="K80" s="280"/>
      <c r="L80" s="280"/>
    </row>
    <row r="81" spans="1:12" s="434" customFormat="1" ht="24.95" customHeight="1">
      <c r="A81" s="417" t="s">
        <v>421</v>
      </c>
      <c r="B81" s="417"/>
      <c r="C81" s="417"/>
      <c r="D81" s="417"/>
      <c r="E81" s="417"/>
      <c r="F81" s="435"/>
      <c r="G81" s="421">
        <f>F78*D79</f>
        <v>0</v>
      </c>
      <c r="H81" s="417"/>
      <c r="I81" s="417"/>
      <c r="J81" s="417"/>
      <c r="K81" s="417"/>
      <c r="L81" s="417"/>
    </row>
    <row r="82" spans="1:12" ht="6" customHeight="1"/>
    <row r="83" spans="1:12" ht="15.95" customHeight="1">
      <c r="A83" s="493" t="s">
        <v>457</v>
      </c>
      <c r="B83" s="493"/>
      <c r="C83" s="493"/>
      <c r="D83" s="493"/>
      <c r="E83" s="493"/>
      <c r="F83" s="493"/>
      <c r="G83" s="493"/>
      <c r="H83" s="493"/>
      <c r="I83" s="493"/>
      <c r="J83" s="493"/>
      <c r="K83" s="493"/>
      <c r="L83" s="493"/>
    </row>
  </sheetData>
  <sheetProtection sheet="1" selectLockedCells="1"/>
  <mergeCells count="32">
    <mergeCell ref="C17:D17"/>
    <mergeCell ref="C20:D20"/>
    <mergeCell ref="C21:D21"/>
    <mergeCell ref="C23:D23"/>
    <mergeCell ref="C42:D42"/>
    <mergeCell ref="C33:D33"/>
    <mergeCell ref="C32:D32"/>
    <mergeCell ref="C38:E38"/>
    <mergeCell ref="A40:G40"/>
    <mergeCell ref="C25:E25"/>
    <mergeCell ref="C28:E28"/>
    <mergeCell ref="C29:E29"/>
    <mergeCell ref="C24:D24"/>
    <mergeCell ref="E30:F30"/>
    <mergeCell ref="C36:D36"/>
    <mergeCell ref="C9:D9"/>
    <mergeCell ref="C12:D12"/>
    <mergeCell ref="C13:D13"/>
    <mergeCell ref="C10:D10"/>
    <mergeCell ref="C16:D16"/>
    <mergeCell ref="A83:L83"/>
    <mergeCell ref="C74:D74"/>
    <mergeCell ref="C47:D47"/>
    <mergeCell ref="C46:D46"/>
    <mergeCell ref="C43:D43"/>
    <mergeCell ref="C54:D54"/>
    <mergeCell ref="C66:D66"/>
    <mergeCell ref="C70:D70"/>
    <mergeCell ref="C50:D50"/>
    <mergeCell ref="A52:G52"/>
    <mergeCell ref="C57:D57"/>
    <mergeCell ref="C62:D62"/>
  </mergeCells>
  <dataValidations count="3">
    <dataValidation type="decimal" operator="lessThanOrEqual" allowBlank="1" showInputMessage="1" showErrorMessage="1" error="Wert darf höchstens so gross sein wie C5_x000a_" sqref="B28" xr:uid="{E34E80F6-546A-43DB-B181-4463C837ADCF}">
      <formula1>B23</formula1>
    </dataValidation>
    <dataValidation type="whole" allowBlank="1" showInputMessage="1" showErrorMessage="1" error="Bitte ganze Zahl eingeben" sqref="B36" xr:uid="{7BF5DA02-51BF-4998-8E1C-56E0C7AE0E03}">
      <formula1>0</formula1>
      <formula2>100</formula2>
    </dataValidation>
    <dataValidation type="decimal" operator="lessThanOrEqual" allowBlank="1" showInputMessage="1" showErrorMessage="1" sqref="B50" xr:uid="{D00E1A56-9239-476E-89F8-554556C28517}">
      <formula1>B46</formula1>
    </dataValidation>
  </dataValidations>
  <pageMargins left="0.7" right="0.7" top="0.78740157499999996" bottom="0.78740157499999996" header="0.3" footer="0.3"/>
  <legacyDrawing r:id="rId1"/>
  <extLst>
    <ext xmlns:x14="http://schemas.microsoft.com/office/spreadsheetml/2009/9/main" uri="{CCE6A557-97BC-4b89-ADB6-D9C93CAAB3DF}">
      <x14:dataValidations xmlns:xm="http://schemas.microsoft.com/office/excel/2006/main" count="2">
        <x14:dataValidation type="decimal" operator="lessThanOrEqual" allowBlank="1" showInputMessage="1" showErrorMessage="1" error="La somme des maraîchères de plein champ, des maraîchère sous abri et des vignobles ne doit pas dépasser les cultures spéciales indiquées dans la fiche de base (plaine ou montagne)." xr:uid="{AD931717-940C-41E0-94BB-3B48AEDC2307}">
          <x14:formula1>
            <xm:f>data!O13 -B5-viticulture!B3</xm:f>
          </x14:formula1>
          <xm:sqref>B3</xm:sqref>
        </x14:dataValidation>
        <x14:dataValidation type="decimal" operator="lessThanOrEqual" allowBlank="1" showInputMessage="1" showErrorMessage="1" error="La somme des maraîchère sous abrides, des maraîchères de plein champ et des vignobles ne doit pas dépasser les cultures spéciales indiquées dans la fiche de base (plaine ou montagne)." xr:uid="{1EC72031-DD5C-4BE0-8C4F-0D42D58F07B9}">
          <x14:formula1>
            <xm:f>data!O13- viticulture!B3 -B3</xm:f>
          </x14:formula1>
          <xm:sqref>B5</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BCCFCD-8C36-4971-A29D-35069DB0A723}">
  <sheetPr>
    <tabColor theme="6" tint="0.79998168889431442"/>
  </sheetPr>
  <dimension ref="A1:AM32"/>
  <sheetViews>
    <sheetView zoomScale="140" zoomScaleNormal="140" zoomScaleSheetLayoutView="100" workbookViewId="0">
      <pane ySplit="1" topLeftCell="A2" activePane="bottomLeft" state="frozen"/>
      <selection pane="bottomLeft" activeCell="B3" sqref="B3"/>
    </sheetView>
  </sheetViews>
  <sheetFormatPr baseColWidth="10" defaultColWidth="9.140625" defaultRowHeight="16.5"/>
  <cols>
    <col min="1" max="1" width="4.5703125" style="357" customWidth="1"/>
    <col min="2" max="2" width="8.5703125" style="357" bestFit="1" customWidth="1"/>
    <col min="3" max="3" width="43.140625" style="359" customWidth="1"/>
    <col min="4" max="4" width="25" style="279" customWidth="1"/>
    <col min="5" max="5" width="10.42578125" style="332" customWidth="1"/>
    <col min="6" max="6" width="3.85546875" style="332" customWidth="1"/>
    <col min="7" max="7" width="33.140625" style="359" customWidth="1"/>
    <col min="8" max="8" width="11.42578125" style="360" hidden="1" customWidth="1"/>
    <col min="9" max="9" width="8.7109375" style="361" hidden="1" customWidth="1"/>
    <col min="10" max="10" width="11.42578125" style="360" hidden="1" customWidth="1"/>
    <col min="11" max="11" width="8.7109375" style="361" hidden="1" customWidth="1"/>
    <col min="12" max="12" width="11.42578125" style="360" hidden="1" customWidth="1"/>
    <col min="13" max="13" width="8.7109375" style="361" hidden="1" customWidth="1"/>
    <col min="14" max="14" width="11.42578125" style="360" hidden="1" customWidth="1"/>
    <col min="15" max="15" width="8.7109375" style="361" hidden="1" customWidth="1"/>
    <col min="16" max="16384" width="9.140625" style="357"/>
  </cols>
  <sheetData>
    <row r="1" spans="1:39" s="401" customFormat="1" ht="24.95" customHeight="1">
      <c r="A1" s="408" t="s">
        <v>422</v>
      </c>
      <c r="B1" s="408"/>
      <c r="C1" s="408"/>
      <c r="D1" s="427" t="s">
        <v>424</v>
      </c>
      <c r="E1" s="409">
        <f>+E30</f>
        <v>0</v>
      </c>
      <c r="F1" s="410"/>
      <c r="G1" s="411">
        <f>+SUM(B3:B24)</f>
        <v>0</v>
      </c>
      <c r="H1" s="395" t="s">
        <v>29</v>
      </c>
      <c r="I1" s="396" t="s">
        <v>30</v>
      </c>
      <c r="J1" s="395" t="s">
        <v>31</v>
      </c>
      <c r="K1" s="396" t="s">
        <v>32</v>
      </c>
      <c r="L1" s="397" t="s">
        <v>33</v>
      </c>
      <c r="M1" s="398" t="s">
        <v>34</v>
      </c>
      <c r="N1" s="395" t="s">
        <v>35</v>
      </c>
      <c r="O1" s="399" t="s">
        <v>36</v>
      </c>
      <c r="P1" s="209"/>
      <c r="Q1" s="209"/>
      <c r="R1" s="209"/>
      <c r="S1" s="209"/>
      <c r="T1" s="209"/>
      <c r="U1" s="400"/>
      <c r="V1" s="400"/>
      <c r="AI1" s="402"/>
      <c r="AJ1" s="402"/>
      <c r="AK1" s="402"/>
      <c r="AL1" s="402"/>
      <c r="AM1" s="402"/>
    </row>
    <row r="2" spans="1:39" s="203" customFormat="1" ht="15.95" customHeight="1">
      <c r="A2" s="352"/>
      <c r="B2" s="352"/>
      <c r="D2" s="239" t="s">
        <v>285</v>
      </c>
      <c r="E2" s="205" t="s">
        <v>4</v>
      </c>
      <c r="G2" s="353"/>
      <c r="H2" s="287"/>
      <c r="I2" s="350"/>
      <c r="J2" s="287"/>
      <c r="K2" s="350"/>
      <c r="L2" s="354"/>
      <c r="M2" s="355"/>
      <c r="N2" s="287"/>
      <c r="O2" s="356"/>
      <c r="P2" s="201"/>
      <c r="Q2" s="201"/>
      <c r="R2" s="201"/>
      <c r="S2" s="201"/>
      <c r="T2" s="201"/>
      <c r="U2" s="205"/>
      <c r="V2" s="205"/>
      <c r="AI2" s="207"/>
      <c r="AJ2" s="208"/>
      <c r="AK2" s="208"/>
      <c r="AL2" s="208"/>
      <c r="AM2" s="208"/>
    </row>
    <row r="3" spans="1:39" ht="15.95" customHeight="1">
      <c r="B3" s="247">
        <v>0</v>
      </c>
      <c r="C3" s="281" t="s">
        <v>426</v>
      </c>
      <c r="E3" s="357"/>
      <c r="F3" s="357"/>
      <c r="G3" s="358"/>
      <c r="O3" s="362"/>
      <c r="P3" s="363"/>
    </row>
    <row r="4" spans="1:39" ht="6" customHeight="1">
      <c r="G4" s="358"/>
    </row>
    <row r="5" spans="1:39" ht="15.95" customHeight="1">
      <c r="A5" s="491" t="s">
        <v>475</v>
      </c>
      <c r="B5" s="247">
        <v>0</v>
      </c>
      <c r="C5" s="364" t="s">
        <v>444</v>
      </c>
      <c r="D5" s="321"/>
      <c r="E5" s="365"/>
      <c r="F5" s="365"/>
      <c r="G5" s="358"/>
    </row>
    <row r="6" spans="1:39" ht="15.95" customHeight="1">
      <c r="C6" s="359" t="s">
        <v>445</v>
      </c>
      <c r="F6" s="365"/>
      <c r="G6" s="358" t="str">
        <f>+"&gt;"&amp;H6*100&amp;"–"&amp; J6*100&amp;"%"&amp;" = "&amp;I6&amp;" Pkt.; &gt;"&amp;J6*100&amp;"–"&amp;L6*100&amp;"%"&amp;" = "&amp;K6&amp;" Pkt."</f>
        <v>&gt;20–40% = 1 Pkt.; &gt;40–60% = 1.5 Pkt.</v>
      </c>
      <c r="H6" s="366">
        <v>0.2</v>
      </c>
      <c r="I6" s="367">
        <v>1</v>
      </c>
      <c r="J6" s="366">
        <v>0.4</v>
      </c>
      <c r="K6" s="367">
        <v>1.5</v>
      </c>
      <c r="L6" s="366">
        <v>0.6</v>
      </c>
      <c r="M6" s="367">
        <v>2</v>
      </c>
      <c r="N6" s="366">
        <v>0.8</v>
      </c>
      <c r="O6" s="367">
        <v>2.5</v>
      </c>
    </row>
    <row r="7" spans="1:39" ht="15.95" customHeight="1">
      <c r="C7" s="359" t="s">
        <v>427</v>
      </c>
      <c r="D7" s="368">
        <f>+IF(Reben=0, 0,B5/viticulture!Reben)</f>
        <v>0</v>
      </c>
      <c r="E7" s="365">
        <f>+IF(D7&gt;N6,O6,IF(D7&gt;L6,M6,IF(D7&gt;J6,K6,IF(D7&gt;H6,I6,0))))</f>
        <v>0</v>
      </c>
      <c r="F7" s="365"/>
      <c r="G7" s="358" t="str">
        <f>+"&gt;"&amp;L6*100&amp;"–"&amp;N6*100&amp;"%"&amp;" = "&amp;M6&amp;" Pkt.; &gt;"&amp;N6*100&amp;"%"&amp;" = "&amp;O6&amp;" Pkt."</f>
        <v>&gt;60–80% = 2 Pkt.; &gt;80% = 2.5 Pkt.</v>
      </c>
    </row>
    <row r="8" spans="1:39" ht="6" customHeight="1">
      <c r="D8" s="368"/>
      <c r="E8" s="365"/>
      <c r="F8" s="365"/>
      <c r="G8" s="358"/>
    </row>
    <row r="9" spans="1:39" ht="15.95" customHeight="1">
      <c r="A9" s="491" t="s">
        <v>476</v>
      </c>
      <c r="B9" s="247">
        <v>0</v>
      </c>
      <c r="C9" s="370" t="s">
        <v>446</v>
      </c>
      <c r="D9" s="321"/>
      <c r="E9" s="365"/>
      <c r="F9" s="365"/>
      <c r="G9" s="358"/>
      <c r="J9" s="371"/>
      <c r="K9" s="372"/>
      <c r="L9" s="373"/>
      <c r="M9" s="369"/>
      <c r="N9" s="373"/>
      <c r="O9" s="369"/>
    </row>
    <row r="10" spans="1:39" ht="15.95" customHeight="1">
      <c r="C10" s="359" t="s">
        <v>445</v>
      </c>
      <c r="D10" s="321"/>
      <c r="E10" s="365"/>
      <c r="F10" s="365"/>
      <c r="G10" s="358"/>
      <c r="J10" s="371"/>
      <c r="K10" s="372"/>
      <c r="L10" s="373"/>
      <c r="M10" s="369"/>
      <c r="N10" s="373"/>
      <c r="O10" s="369"/>
    </row>
    <row r="11" spans="1:39" ht="15.95" customHeight="1">
      <c r="C11" s="359" t="s">
        <v>427</v>
      </c>
      <c r="D11" s="368">
        <f>+IF(Reben=0, 0,B9/viticulture!Reben)</f>
        <v>0</v>
      </c>
      <c r="E11" s="365">
        <f>+IF(D11=H11,I11,0)</f>
        <v>0</v>
      </c>
      <c r="F11" s="365"/>
      <c r="G11" s="358" t="str">
        <f>+""&amp;H11*100&amp;"%"&amp;" = "&amp;I11&amp;" Pkt."</f>
        <v>100% = 1 Pkt.</v>
      </c>
      <c r="H11" s="366">
        <v>1</v>
      </c>
      <c r="I11" s="369">
        <v>1</v>
      </c>
      <c r="J11" s="371"/>
      <c r="K11" s="372"/>
      <c r="L11" s="373"/>
      <c r="M11" s="369"/>
      <c r="N11" s="373"/>
      <c r="O11" s="369"/>
    </row>
    <row r="12" spans="1:39" ht="6" customHeight="1">
      <c r="C12" s="364"/>
      <c r="D12" s="321"/>
      <c r="E12" s="374"/>
      <c r="F12" s="374"/>
      <c r="G12" s="358"/>
    </row>
    <row r="13" spans="1:39">
      <c r="A13" s="491" t="s">
        <v>477</v>
      </c>
      <c r="B13" s="247">
        <v>0</v>
      </c>
      <c r="C13" s="375" t="s">
        <v>447</v>
      </c>
      <c r="D13" s="321"/>
      <c r="E13" s="365"/>
      <c r="F13" s="365"/>
      <c r="G13" s="358"/>
    </row>
    <row r="14" spans="1:39" ht="33">
      <c r="C14" s="375" t="s">
        <v>448</v>
      </c>
      <c r="D14" s="321"/>
      <c r="E14" s="365"/>
      <c r="F14" s="365"/>
      <c r="G14" s="483" t="str">
        <f>+"&gt;"&amp;H15*100&amp;"–"&amp;J15*100&amp;"%"&amp;" = "&amp;I15&amp;" Pkt.; &gt;"&amp;J15*100&amp;"–"&amp;L15*100&amp;"%"&amp;" = "&amp;K15&amp;" Pkt."</f>
        <v>&gt;20–40% = 1 Pkt.; &gt;40–60% = 1.5 Pkt.</v>
      </c>
    </row>
    <row r="15" spans="1:39" ht="15.95" customHeight="1">
      <c r="C15" s="359" t="s">
        <v>427</v>
      </c>
      <c r="D15" s="321">
        <f>+IF(Reben=0, 0,B13/viticulture!Reben)</f>
        <v>0</v>
      </c>
      <c r="E15" s="365">
        <f>+IF(D15&gt;N15,O15,IF(D15&gt;L15,M15,IF(D15&gt;J15,K15,IF(D15&gt;H15,I15,0))))</f>
        <v>0</v>
      </c>
      <c r="F15" s="365"/>
      <c r="G15" s="358" t="str">
        <f>+"&gt;"&amp;L15*100&amp;"–"&amp;N15*100&amp;"%"&amp;" = "&amp;M15&amp;" Pkt.; &gt;"&amp;N15*100&amp;"%"&amp;" = "&amp;O15&amp;" Pkt."</f>
        <v>&gt;60–80% = 2 Pkt.; &gt;80% = 2.5 Pkt.</v>
      </c>
      <c r="H15" s="366">
        <v>0.2</v>
      </c>
      <c r="I15" s="369">
        <v>1</v>
      </c>
      <c r="J15" s="366">
        <v>0.4</v>
      </c>
      <c r="K15" s="369">
        <v>1.5</v>
      </c>
      <c r="L15" s="366">
        <v>0.6</v>
      </c>
      <c r="M15" s="369">
        <v>2</v>
      </c>
      <c r="N15" s="366">
        <v>0.8</v>
      </c>
      <c r="O15" s="369">
        <v>2.5</v>
      </c>
    </row>
    <row r="16" spans="1:39" ht="6" customHeight="1">
      <c r="C16" s="364"/>
      <c r="D16" s="321"/>
      <c r="E16" s="374"/>
      <c r="F16" s="374"/>
      <c r="G16" s="376"/>
    </row>
    <row r="17" spans="1:15">
      <c r="A17" s="491" t="s">
        <v>478</v>
      </c>
      <c r="B17" s="247">
        <v>0</v>
      </c>
      <c r="C17" s="375" t="s">
        <v>449</v>
      </c>
      <c r="D17" s="321"/>
      <c r="E17" s="365"/>
      <c r="F17" s="365"/>
      <c r="G17" s="358"/>
    </row>
    <row r="18" spans="1:15">
      <c r="C18" s="375" t="s">
        <v>450</v>
      </c>
      <c r="D18" s="321"/>
      <c r="E18" s="365"/>
      <c r="F18" s="365"/>
      <c r="G18" s="483" t="str">
        <f>+"&gt;"&amp;H19*100&amp;"–"&amp;J19*100&amp;"%"&amp;" = "&amp;I19&amp;" Pkt.; &gt;"&amp;J19*100&amp;"–"&amp;L19*100&amp;"%"&amp;" = "&amp;K19&amp;" Pkt."</f>
        <v>&gt;20–40% = 1.5 Pkt.; &gt;40–60% = 2 Pkt.</v>
      </c>
    </row>
    <row r="19" spans="1:15">
      <c r="C19" s="359" t="s">
        <v>427</v>
      </c>
      <c r="D19" s="321">
        <f>+IF(Reben=0, 0,B17/viticulture!Reben)</f>
        <v>0</v>
      </c>
      <c r="E19" s="365">
        <f>+IF(D19&gt;N19,O19,IF(D19&gt;L19,M19,IF(D19&gt;J19,K19,IF(D19&gt;H19,I19,0))))</f>
        <v>0</v>
      </c>
      <c r="F19" s="365"/>
      <c r="G19" s="358" t="str">
        <f>+"&gt;"&amp;L19*100&amp;"–"&amp;N19*100&amp;"%"&amp;" = "&amp;M19&amp;" Pkt.; &gt;"&amp;N19*100&amp;"%"&amp;" = "&amp;O19&amp;" Pkt."</f>
        <v>&gt;60–80% = 2.5 Pkt.; &gt;80% = 3 Pkt.</v>
      </c>
      <c r="H19" s="366">
        <v>0.2</v>
      </c>
      <c r="I19" s="369">
        <v>1.5</v>
      </c>
      <c r="J19" s="366">
        <v>0.4</v>
      </c>
      <c r="K19" s="369">
        <v>2</v>
      </c>
      <c r="L19" s="366">
        <v>0.6</v>
      </c>
      <c r="M19" s="369">
        <v>2.5</v>
      </c>
      <c r="N19" s="366">
        <v>0.8</v>
      </c>
      <c r="O19" s="369">
        <v>3</v>
      </c>
    </row>
    <row r="20" spans="1:15" ht="6" customHeight="1">
      <c r="C20" s="364"/>
      <c r="D20" s="321"/>
      <c r="E20" s="374"/>
      <c r="F20" s="374"/>
      <c r="G20" s="376"/>
    </row>
    <row r="21" spans="1:15" ht="15.95" customHeight="1">
      <c r="A21" s="491" t="s">
        <v>479</v>
      </c>
      <c r="B21" s="247">
        <v>0</v>
      </c>
      <c r="C21" s="481" t="s">
        <v>451</v>
      </c>
      <c r="D21" s="321"/>
      <c r="E21" s="365"/>
      <c r="F21" s="365"/>
      <c r="G21" s="358" t="str">
        <f>+"&gt;"&amp;H22*100&amp;"–"&amp;J22*100&amp;"%"&amp;" = "&amp;I22&amp;" Pkt.; &gt;"&amp;J22*100&amp;"–"&amp;L22*100&amp;"%"&amp;" = "&amp;K22&amp;" Pkt."</f>
        <v>&gt;2–5% = 0.5 Pkt.; &gt;5–10% = 1 Pkt.</v>
      </c>
    </row>
    <row r="22" spans="1:15" ht="15.95" customHeight="1">
      <c r="C22" s="359" t="s">
        <v>427</v>
      </c>
      <c r="D22" s="321">
        <f>+IF(Reben=0, 0,B21/viticulture!Reben)</f>
        <v>0</v>
      </c>
      <c r="E22" s="365">
        <f>+IF(D22&gt;L22,M22,IF(D22&gt;J22,K22,IF(D22&gt;H22,I22,0)))</f>
        <v>0</v>
      </c>
      <c r="F22" s="365"/>
      <c r="G22" s="358" t="str">
        <f>+"&gt;"&amp;L22*100&amp;"%"&amp;" = "&amp;M22&amp;" Pkt."</f>
        <v>&gt;10% = 2 Pkt.</v>
      </c>
      <c r="H22" s="366">
        <v>0.02</v>
      </c>
      <c r="I22" s="369">
        <v>0.5</v>
      </c>
      <c r="J22" s="366">
        <v>0.05</v>
      </c>
      <c r="K22" s="369">
        <v>1</v>
      </c>
      <c r="L22" s="366">
        <v>0.1</v>
      </c>
      <c r="M22" s="369">
        <v>2</v>
      </c>
      <c r="N22" s="366"/>
    </row>
    <row r="23" spans="1:15" ht="6" customHeight="1">
      <c r="C23" s="378"/>
      <c r="D23" s="321"/>
      <c r="E23" s="365"/>
      <c r="F23" s="365"/>
      <c r="G23" s="358"/>
    </row>
    <row r="24" spans="1:15">
      <c r="A24" s="491" t="s">
        <v>480</v>
      </c>
      <c r="B24" s="247">
        <v>0</v>
      </c>
      <c r="C24" s="488" t="s">
        <v>452</v>
      </c>
      <c r="D24" s="321"/>
      <c r="E24" s="374"/>
      <c r="F24" s="374"/>
      <c r="G24" s="483" t="str">
        <f>+"&gt;"&amp;H25*100&amp;"–"&amp;J25*100&amp;"%"&amp;" = "&amp;I25&amp;" Pkt.; &gt;"&amp;J25*100&amp;"–"&amp;L25*100&amp;"%"&amp;" = "&amp;K25&amp;" Pkt."</f>
        <v>&gt;20–40% = 1 Pkt.; &gt;40–60% = 2 Pkt.</v>
      </c>
    </row>
    <row r="25" spans="1:15" ht="15.95" customHeight="1">
      <c r="C25" s="359" t="s">
        <v>427</v>
      </c>
      <c r="D25" s="321">
        <f>+IF(Reben=0, 0,B24/viticulture!Reben)</f>
        <v>0</v>
      </c>
      <c r="E25" s="365">
        <f>+IF(D25&gt;N25,O25,IF(D25&gt;L25,M25,IF(D25&gt;J25,K25,IF(D25&gt;H25,I25,0))))</f>
        <v>0</v>
      </c>
      <c r="F25" s="365"/>
      <c r="G25" s="358" t="str">
        <f>+"&gt;"&amp;L25*100&amp;"–"&amp;N25*100&amp;"%"&amp;" = "&amp;M25&amp;" Pkt.; &gt;"&amp;N25*100&amp;"%"&amp;" = "&amp;O25&amp;" Pkt."</f>
        <v>&gt;60–80% = 3 Pkt.; &gt;80% = 4 Pkt.</v>
      </c>
      <c r="H25" s="366">
        <v>0.2</v>
      </c>
      <c r="I25" s="369">
        <v>1</v>
      </c>
      <c r="J25" s="366">
        <v>0.4</v>
      </c>
      <c r="K25" s="369">
        <v>2</v>
      </c>
      <c r="L25" s="366">
        <v>0.6</v>
      </c>
      <c r="M25" s="369">
        <v>3</v>
      </c>
      <c r="N25" s="366">
        <v>0.8</v>
      </c>
      <c r="O25" s="369">
        <v>4</v>
      </c>
    </row>
    <row r="26" spans="1:15" ht="6" customHeight="1">
      <c r="C26" s="364"/>
      <c r="E26" s="374"/>
      <c r="F26" s="374"/>
      <c r="G26" s="377"/>
    </row>
    <row r="27" spans="1:15">
      <c r="A27" s="431" t="s">
        <v>428</v>
      </c>
      <c r="B27" s="412"/>
      <c r="C27" s="413"/>
      <c r="D27" s="414"/>
      <c r="E27" s="415">
        <f>E7+E11+E15+E19+E22+E25</f>
        <v>0</v>
      </c>
      <c r="F27" s="415"/>
      <c r="G27" s="416"/>
    </row>
    <row r="28" spans="1:15" ht="6" customHeight="1">
      <c r="B28" s="379"/>
      <c r="E28" s="374"/>
      <c r="F28" s="374"/>
      <c r="G28" s="379"/>
    </row>
    <row r="29" spans="1:15" ht="15.95" customHeight="1">
      <c r="B29" s="321">
        <f>Reben/data!SAU</f>
        <v>0</v>
      </c>
      <c r="C29" s="357" t="s">
        <v>429</v>
      </c>
      <c r="E29" s="374"/>
      <c r="F29" s="374"/>
      <c r="G29" s="377"/>
    </row>
    <row r="30" spans="1:15" s="382" customFormat="1" ht="27" customHeight="1">
      <c r="A30" s="417" t="s">
        <v>430</v>
      </c>
      <c r="B30" s="418"/>
      <c r="C30" s="419"/>
      <c r="D30" s="420"/>
      <c r="E30" s="421">
        <f>+E27*B29</f>
        <v>0</v>
      </c>
      <c r="F30" s="421"/>
      <c r="G30" s="418"/>
      <c r="H30" s="351"/>
      <c r="I30" s="380"/>
      <c r="J30" s="351"/>
      <c r="K30" s="380"/>
      <c r="L30" s="351"/>
      <c r="M30" s="380"/>
      <c r="N30" s="381"/>
      <c r="O30" s="361"/>
    </row>
    <row r="31" spans="1:15" ht="6" customHeight="1"/>
    <row r="32" spans="1:15" ht="15.95" customHeight="1">
      <c r="A32" s="493" t="s">
        <v>453</v>
      </c>
      <c r="B32" s="493"/>
      <c r="C32" s="493"/>
      <c r="D32" s="493"/>
      <c r="E32" s="493"/>
      <c r="F32" s="493"/>
      <c r="G32" s="493"/>
      <c r="H32" s="493"/>
      <c r="I32" s="493"/>
      <c r="J32" s="493"/>
      <c r="K32" s="493"/>
      <c r="L32" s="493"/>
    </row>
  </sheetData>
  <sheetProtection sheet="1" selectLockedCells="1"/>
  <mergeCells count="1">
    <mergeCell ref="A32:L32"/>
  </mergeCells>
  <dataValidations count="3">
    <dataValidation type="decimal" showInputMessage="1" showErrorMessage="1" errorTitle="ungültiger Wert" error="Maximal 3 Punkte nach Absprache mit Gutachter einsetzen!" sqref="E30:F30" xr:uid="{BA1FC9FD-88C6-44F4-AB8F-84302F581672}">
      <formula1>0</formula1>
      <formula2>3</formula2>
    </dataValidation>
    <dataValidation type="decimal" allowBlank="1" showInputMessage="1" showErrorMessage="1" errorTitle="ungültiger Wert" error="Entrez un chiffre qui ne dépasse pas la superficie du vignoble" promptTitle="Anzahl ha" sqref="B5 B24 B21 B13 B17" xr:uid="{6F78B8B8-5002-444A-83A0-03D82705EFF6}">
      <formula1>0</formula1>
      <formula2>Reben</formula2>
    </dataValidation>
    <dataValidation type="decimal" allowBlank="1" showInputMessage="1" showErrorMessage="1" errorTitle="ungültiger Wert" error="Entrez un chiffre qui ne dépasse pas la superficie du vignobleche" promptTitle="Anzahl ha" sqref="B9" xr:uid="{7B44E39F-5C97-4E94-868C-F4E219A5C76B}">
      <formula1>0</formula1>
      <formula2>Reben</formula2>
    </dataValidation>
  </dataValidations>
  <pageMargins left="0.23622047244094491" right="0.23622047244094491" top="0.74803149606299213" bottom="0.74803149606299213" header="0.31496062992125984" footer="0.31496062992125984"/>
  <pageSetup paperSize="9" fitToHeight="0" orientation="portrait" r:id="rId1"/>
  <legacyDrawing r:id="rId2"/>
  <extLst>
    <ext xmlns:x14="http://schemas.microsoft.com/office/spreadsheetml/2009/9/main" uri="{CCE6A557-97BC-4b89-ADB6-D9C93CAAB3DF}">
      <x14:dataValidations xmlns:xm="http://schemas.microsoft.com/office/excel/2006/main" count="1">
        <x14:dataValidation type="decimal" operator="lessThanOrEqual" allowBlank="1" showInputMessage="1" showErrorMessage="1" error="La somme des vignobles et des maraîchère  ne doit pas dépasser les cultures spéciales indiquées dans la fiche de base (plaine ou montagne)." xr:uid="{FC90CC13-01CD-402A-BFF1-995EC59819C5}">
          <x14:formula1>
            <xm:f>data!O13-maraîchère!B3-maraîchère!B5</xm:f>
          </x14:formula1>
          <xm:sqref>B3</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D5C166-8A39-4E2F-AF97-D7FF92BC2B95}">
  <dimension ref="A1:O104"/>
  <sheetViews>
    <sheetView zoomScale="140" zoomScaleNormal="140" workbookViewId="0">
      <selection activeCell="P11" sqref="P11"/>
    </sheetView>
  </sheetViews>
  <sheetFormatPr baseColWidth="10" defaultRowHeight="12.75"/>
  <cols>
    <col min="1" max="1" width="25.42578125" customWidth="1"/>
    <col min="2" max="3" width="11.42578125" style="189"/>
    <col min="4" max="6" width="11.42578125" style="191"/>
    <col min="7" max="8" width="11.42578125" style="193"/>
    <col min="9" max="11" width="11.42578125" style="195"/>
  </cols>
  <sheetData>
    <row r="1" spans="1:15">
      <c r="B1" s="188" t="s">
        <v>272</v>
      </c>
      <c r="C1" s="188" t="s">
        <v>273</v>
      </c>
      <c r="D1" s="190" t="s">
        <v>277</v>
      </c>
      <c r="E1" s="190" t="s">
        <v>278</v>
      </c>
      <c r="F1" s="190" t="s">
        <v>279</v>
      </c>
      <c r="G1" s="192" t="s">
        <v>274</v>
      </c>
      <c r="H1" s="192" t="s">
        <v>280</v>
      </c>
      <c r="I1" s="194" t="s">
        <v>441</v>
      </c>
      <c r="J1" s="194" t="s">
        <v>442</v>
      </c>
      <c r="K1" s="194" t="s">
        <v>443</v>
      </c>
      <c r="L1" s="1" t="s">
        <v>291</v>
      </c>
      <c r="M1" s="1" t="s">
        <v>292</v>
      </c>
      <c r="N1" s="1" t="s">
        <v>293</v>
      </c>
      <c r="O1" s="1" t="s">
        <v>294</v>
      </c>
    </row>
    <row r="2" spans="1:15">
      <c r="B2" s="188"/>
      <c r="C2" s="188"/>
      <c r="D2" s="190"/>
      <c r="E2" s="190"/>
      <c r="F2" s="190"/>
      <c r="G2" s="192"/>
      <c r="H2" s="192"/>
      <c r="I2" s="194"/>
      <c r="J2" s="194"/>
      <c r="K2" s="194"/>
      <c r="L2" s="1"/>
      <c r="M2" s="1"/>
      <c r="N2" s="1"/>
      <c r="O2" s="1"/>
    </row>
    <row r="4" spans="1:15">
      <c r="A4" s="1" t="s">
        <v>484</v>
      </c>
      <c r="B4" s="330" t="e">
        <f>+#REF!=0</f>
        <v>#REF!</v>
      </c>
      <c r="C4" s="189" t="e">
        <f>+#REF!=0</f>
        <v>#REF!</v>
      </c>
      <c r="D4" s="331" t="e">
        <f>+#REF!=0</f>
        <v>#REF!</v>
      </c>
      <c r="E4" s="331" t="e">
        <f>+#REF!=0</f>
        <v>#REF!</v>
      </c>
      <c r="F4" s="331" t="e">
        <f>+#REF!=0</f>
        <v>#REF!</v>
      </c>
      <c r="G4" s="193" t="b">
        <f>+plaine!U1=0</f>
        <v>1</v>
      </c>
      <c r="H4" s="193" t="b">
        <f>+montagne!U1=0</f>
        <v>1</v>
      </c>
      <c r="I4" s="195" t="b">
        <f>+'ferme+'!F1=0</f>
        <v>1</v>
      </c>
      <c r="J4" s="195" t="b">
        <f>+maraîchère!L1=0</f>
        <v>1</v>
      </c>
      <c r="K4" s="195" t="b">
        <f>+viticulture!G1=0</f>
        <v>1</v>
      </c>
      <c r="L4" s="1">
        <f>COUNTIF(B4:F4, FALSE)</f>
        <v>0</v>
      </c>
      <c r="N4" s="1">
        <f>COUNTIF(G4:K4, FALSE)</f>
        <v>0</v>
      </c>
    </row>
    <row r="6" spans="1:15">
      <c r="A6" s="1" t="s">
        <v>295</v>
      </c>
      <c r="L6" s="1">
        <f>COUNTIF(L8:L104,"&gt;1")</f>
        <v>0</v>
      </c>
      <c r="N6" s="1">
        <f>COUNTIF(N8:N104,"&gt;1")</f>
        <v>0</v>
      </c>
    </row>
    <row r="7" spans="1:15">
      <c r="A7" s="1" t="s">
        <v>296</v>
      </c>
      <c r="L7" s="1"/>
    </row>
    <row r="9" spans="1:15">
      <c r="A9" s="1" t="s">
        <v>283</v>
      </c>
      <c r="B9" s="188" t="e">
        <f>[0]!LN</f>
        <v>#REF!</v>
      </c>
      <c r="C9" s="188" t="e">
        <f>[0]!LN</f>
        <v>#REF!</v>
      </c>
      <c r="L9">
        <f>COUNTIF(B9:F9,"&gt;1")</f>
        <v>0</v>
      </c>
      <c r="M9" t="e">
        <f>IF(MAX(B9:F9)&gt;0,MAX(B9:F9),1)</f>
        <v>#REF!</v>
      </c>
    </row>
    <row r="10" spans="1:15">
      <c r="A10" s="1" t="s">
        <v>282</v>
      </c>
      <c r="G10" s="193">
        <f>plaine!LN</f>
        <v>1</v>
      </c>
      <c r="H10" s="193">
        <f>montagne!LN</f>
        <v>1</v>
      </c>
      <c r="N10">
        <f>COUNTIF(G10:K10,"&gt;1")</f>
        <v>0</v>
      </c>
      <c r="O10">
        <f>MAX(G10:K10)</f>
        <v>1</v>
      </c>
    </row>
    <row r="12" spans="1:15">
      <c r="A12" s="1" t="s">
        <v>284</v>
      </c>
      <c r="B12" s="189" t="e">
        <f>+[0]!Spezialkulturen</f>
        <v>#REF!</v>
      </c>
      <c r="C12" s="189" t="e">
        <f>+[0]!Spezialkulturen</f>
        <v>#REF!</v>
      </c>
      <c r="L12">
        <f>COUNTIF(B12:F12,"&gt;0")</f>
        <v>0</v>
      </c>
      <c r="M12" t="e">
        <f>MAX(B12:K12)</f>
        <v>#REF!</v>
      </c>
    </row>
    <row r="13" spans="1:15">
      <c r="A13" s="1" t="s">
        <v>287</v>
      </c>
      <c r="G13" s="193">
        <f>+plaine!Spezialkulturen</f>
        <v>0</v>
      </c>
      <c r="H13" s="193">
        <f>+montagne!Spezialkulturen</f>
        <v>0</v>
      </c>
      <c r="N13">
        <f>COUNTIF(G13:K13,"&gt;0")</f>
        <v>0</v>
      </c>
      <c r="O13">
        <f>MAX(G13:K13)</f>
        <v>0</v>
      </c>
    </row>
    <row r="104" spans="1:1">
      <c r="A104" s="1" t="s">
        <v>281</v>
      </c>
    </row>
  </sheetData>
  <conditionalFormatting sqref="L4">
    <cfRule type="cellIs" dxfId="11" priority="7" operator="greaterThan">
      <formula>0</formula>
    </cfRule>
    <cfRule type="cellIs" dxfId="10" priority="8" operator="greaterThan">
      <formula>1</formula>
    </cfRule>
    <cfRule type="cellIs" dxfId="9" priority="9" operator="greaterThan">
      <formula>0</formula>
    </cfRule>
  </conditionalFormatting>
  <conditionalFormatting sqref="L6:L7">
    <cfRule type="cellIs" dxfId="8" priority="10" operator="greaterThan">
      <formula>0</formula>
    </cfRule>
    <cfRule type="cellIs" dxfId="7" priority="11" operator="greaterThan">
      <formula>1</formula>
    </cfRule>
    <cfRule type="cellIs" dxfId="6" priority="12" operator="greaterThan">
      <formula>0</formula>
    </cfRule>
  </conditionalFormatting>
  <conditionalFormatting sqref="N4">
    <cfRule type="cellIs" dxfId="5" priority="4" operator="greaterThan">
      <formula>0</formula>
    </cfRule>
    <cfRule type="cellIs" dxfId="4" priority="5" operator="greaterThan">
      <formula>1</formula>
    </cfRule>
    <cfRule type="cellIs" dxfId="3" priority="6" operator="greaterThan">
      <formula>0</formula>
    </cfRule>
  </conditionalFormatting>
  <conditionalFormatting sqref="N6">
    <cfRule type="cellIs" dxfId="2" priority="1" operator="greaterThan">
      <formula>0</formula>
    </cfRule>
    <cfRule type="cellIs" dxfId="1" priority="2" operator="greaterThan">
      <formula>1</formula>
    </cfRule>
    <cfRule type="cellIs" dxfId="0" priority="3" operator="greaterThan">
      <formula>0</formula>
    </cfRule>
  </conditionalFormatting>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4B1F190022C1C84A831B3A1F3D0D4B23" ma:contentTypeVersion="19" ma:contentTypeDescription="Ein neues Dokument erstellen." ma:contentTypeScope="" ma:versionID="51e52a4ab88c02d7941c2225e3e5ae6d">
  <xsd:schema xmlns:xsd="http://www.w3.org/2001/XMLSchema" xmlns:xs="http://www.w3.org/2001/XMLSchema" xmlns:p="http://schemas.microsoft.com/office/2006/metadata/properties" xmlns:ns2="64de2e10-ee86-4bfc-912b-c9858ce9334b" xmlns:ns3="ff08531f-ab27-4e6c-bfcc-422da4b8b471" targetNamespace="http://schemas.microsoft.com/office/2006/metadata/properties" ma:root="true" ma:fieldsID="acec35a4f30d6d82fe9ec4e455c71454" ns2:_="" ns3:_="">
    <xsd:import namespace="64de2e10-ee86-4bfc-912b-c9858ce9334b"/>
    <xsd:import namespace="ff08531f-ab27-4e6c-bfcc-422da4b8b471"/>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2:MediaServiceLocation" minOccurs="0"/>
                <xsd:element ref="ns2:MediaServiceOCR"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4de2e10-ee86-4bfc-912b-c9858ce9334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Bildmarkierungen" ma:readOnly="false" ma:fieldId="{5cf76f15-5ced-4ddc-b409-7134ff3c332f}" ma:taxonomyMulti="true" ma:sspId="c029d8f7-f5c7-4d0d-8363-585babc5a1d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f08531f-ab27-4e6c-bfcc-422da4b8b471" elementFormDefault="qualified">
    <xsd:import namespace="http://schemas.microsoft.com/office/2006/documentManagement/types"/>
    <xsd:import namespace="http://schemas.microsoft.com/office/infopath/2007/PartnerControls"/>
    <xsd:element name="SharedWithUsers" ma:index="18"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Freigegeben für - Details" ma:internalName="SharedWithDetails" ma:readOnly="true">
      <xsd:simpleType>
        <xsd:restriction base="dms:Note">
          <xsd:maxLength value="255"/>
        </xsd:restriction>
      </xsd:simpleType>
    </xsd:element>
    <xsd:element name="TaxCatchAll" ma:index="23" nillable="true" ma:displayName="Taxonomy Catch All Column" ma:hidden="true" ma:list="{4cc41956-b76c-4ef7-8b3d-1883e8cd3f42}" ma:internalName="TaxCatchAll" ma:showField="CatchAllData" ma:web="ff08531f-ab27-4e6c-bfcc-422da4b8b47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64de2e10-ee86-4bfc-912b-c9858ce9334b">
      <Terms xmlns="http://schemas.microsoft.com/office/infopath/2007/PartnerControls"/>
    </lcf76f155ced4ddcb4097134ff3c332f>
    <TaxCatchAll xmlns="ff08531f-ab27-4e6c-bfcc-422da4b8b471"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9B0C3C6-39B1-4A17-AA19-C9D2D9527EB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4de2e10-ee86-4bfc-912b-c9858ce9334b"/>
    <ds:schemaRef ds:uri="ff08531f-ab27-4e6c-bfcc-422da4b8b47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DCCCBD5-470D-43FD-8628-14ED59D4AA9C}">
  <ds:schemaRefs>
    <ds:schemaRef ds:uri="http://schemas.microsoft.com/office/infopath/2007/PartnerControls"/>
    <ds:schemaRef ds:uri="64de2e10-ee86-4bfc-912b-c9858ce9334b"/>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ff08531f-ab27-4e6c-bfcc-422da4b8b471"/>
    <ds:schemaRef ds:uri="http://www.w3.org/XML/1998/namespace"/>
    <ds:schemaRef ds:uri="http://purl.org/dc/dcmitype/"/>
  </ds:schemaRefs>
</ds:datastoreItem>
</file>

<file path=customXml/itemProps3.xml><?xml version="1.0" encoding="utf-8"?>
<ds:datastoreItem xmlns:ds="http://schemas.openxmlformats.org/officeDocument/2006/customXml" ds:itemID="{BA991599-828E-4A08-A334-79846D2D7AD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35</vt:i4>
      </vt:variant>
    </vt:vector>
  </HeadingPairs>
  <TitlesOfParts>
    <vt:vector size="41" baseType="lpstr">
      <vt:lpstr>plaine</vt:lpstr>
      <vt:lpstr>montagne</vt:lpstr>
      <vt:lpstr>ferme+</vt:lpstr>
      <vt:lpstr>maraîchère</vt:lpstr>
      <vt:lpstr>viticulture</vt:lpstr>
      <vt:lpstr>data</vt:lpstr>
      <vt:lpstr>montagne!Ackerfläche</vt:lpstr>
      <vt:lpstr>plaine!Ackerfläche</vt:lpstr>
      <vt:lpstr>avertissement</vt:lpstr>
      <vt:lpstr>montagne!DGL</vt:lpstr>
      <vt:lpstr>plaine!DGL</vt:lpstr>
      <vt:lpstr>montagne!DGL_Streue</vt:lpstr>
      <vt:lpstr>plaine!DGL_Streue</vt:lpstr>
      <vt:lpstr>montagne!DGVE</vt:lpstr>
      <vt:lpstr>montagne!Druckbereich</vt:lpstr>
      <vt:lpstr>plaine!Druckbereich</vt:lpstr>
      <vt:lpstr>viticulture!Druckbereich</vt:lpstr>
      <vt:lpstr>montagne!Extensivweide</vt:lpstr>
      <vt:lpstr>plaine!Extensivweide</vt:lpstr>
      <vt:lpstr>maraîchère!Gemüse_Freiland</vt:lpstr>
      <vt:lpstr>maraîchère!Gemüse_geschützt</vt:lpstr>
      <vt:lpstr>data!LN</vt:lpstr>
      <vt:lpstr>'ferme+'!LN</vt:lpstr>
      <vt:lpstr>montagne!LN</vt:lpstr>
      <vt:lpstr>plaine!LN</vt:lpstr>
      <vt:lpstr>montagne!Nutzungsparzellen</vt:lpstr>
      <vt:lpstr>plaine!Nutzungsparzellen</vt:lpstr>
      <vt:lpstr>montagne!öAF_ohne_Bäume</vt:lpstr>
      <vt:lpstr>plaine!öAF_ohne_Bäume</vt:lpstr>
      <vt:lpstr>montagne!offene_Ackerfläche</vt:lpstr>
      <vt:lpstr>plaine!offene_Ackerfläche</vt:lpstr>
      <vt:lpstr>'ferme+'!Pkt_Hofplus</vt:lpstr>
      <vt:lpstr>viticulture!Reben</vt:lpstr>
      <vt:lpstr>data!SAU</vt:lpstr>
      <vt:lpstr>SAU</vt:lpstr>
      <vt:lpstr>data!Spezialkulturen</vt:lpstr>
      <vt:lpstr>montagne!Spezialkulturen</vt:lpstr>
      <vt:lpstr>plaine!Spezialkulturen</vt:lpstr>
      <vt:lpstr>montagne!Streuefläche</vt:lpstr>
      <vt:lpstr>plaine!Streuefläche</vt:lpstr>
      <vt:lpstr>Warnung</vt:lpstr>
    </vt:vector>
  </TitlesOfParts>
  <Company>Schweizerische Vogelwarte Sempach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mj</dc:creator>
  <cp:lastModifiedBy>Simon Birrer</cp:lastModifiedBy>
  <cp:lastPrinted>2025-12-01T14:13:33Z</cp:lastPrinted>
  <dcterms:created xsi:type="dcterms:W3CDTF">2007-02-13T14:09:25Z</dcterms:created>
  <dcterms:modified xsi:type="dcterms:W3CDTF">2026-03-30T09:43:14Z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0x0101004B1F190022C1C84A831B3A1F3D0D4B23</vt:lpwstr>
  </property>
</Properties>
</file>