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36" documentId="8_{34EFF0A9-4C30-4A16-AE97-7B878A4BB404}" xr6:coauthVersionLast="47" xr6:coauthVersionMax="47" xr10:uidLastSave="{A7AA85EE-BCC0-4D41-B0CA-547620D6C645}"/>
  <bookViews>
    <workbookView xWindow="28680" yWindow="-120" windowWidth="29040" windowHeight="15720" tabRatio="764" xr2:uid="{00000000-000D-0000-FFFF-FFFF00000000}"/>
  </bookViews>
  <sheets>
    <sheet name="Punktesystem" sheetId="1" r:id="rId1"/>
    <sheet name="Systeme à points" sheetId="2" r:id="rId2"/>
  </sheets>
  <definedNames>
    <definedName name="_xlnm._FilterDatabase" localSheetId="1" hidden="1">'Systeme à points'!#REF!</definedName>
    <definedName name="andereQI">Punktesystem!$B$85</definedName>
    <definedName name="andereQII">Punktesystem!$B$75</definedName>
    <definedName name="autresQI">'Systeme à points'!$B$85</definedName>
    <definedName name="autresQII">'Systeme à points'!$B$75</definedName>
    <definedName name="BFF_ohne_Beiträge">Punktesystem!$C$94</definedName>
    <definedName name="haiesQI">'Systeme à points'!$C$78</definedName>
    <definedName name="haiesQII">'Systeme à points'!$C$63</definedName>
    <definedName name="HeckenQI">Punktesystem!$C$78</definedName>
    <definedName name="HeckenQII">Punktesystem!$C$63</definedName>
    <definedName name="RebenQII">Punktesystem!$C$60</definedName>
    <definedName name="Rebfläche">Punktesystem!$C$15</definedName>
    <definedName name="SPB_sans_contrib">'Systeme à points'!$C$94</definedName>
    <definedName name="SVBNQII">'Systeme à points'!$C$60</definedName>
    <definedName name="vitic" localSheetId="0">Punktesystem!$C$15</definedName>
    <definedName name="vitic" localSheetId="1">'Systeme à points'!$C$15</definedName>
    <definedName name="_xlnm.Print_Area" localSheetId="0">Punktesystem!$A$1:$F$137</definedName>
    <definedName name="_xlnm.Print_Area" localSheetId="1">'Systeme à points'!$A$1:$F$137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4" i="2" l="1"/>
  <c r="E89" i="2"/>
  <c r="C89" i="1"/>
  <c r="E89" i="1" s="1"/>
  <c r="N137" i="1"/>
  <c r="E45" i="2"/>
  <c r="H2" i="1"/>
  <c r="H2" i="2"/>
  <c r="C25" i="2"/>
  <c r="F135" i="1"/>
  <c r="E135" i="1"/>
  <c r="F126" i="1"/>
  <c r="B126" i="1"/>
  <c r="E126" i="1" s="1"/>
  <c r="F112" i="1"/>
  <c r="B112" i="1"/>
  <c r="E112" i="1" s="1"/>
  <c r="F92" i="1"/>
  <c r="N92" i="1"/>
  <c r="C37" i="1"/>
  <c r="C33" i="1"/>
  <c r="C29" i="1"/>
  <c r="E35" i="1"/>
  <c r="E31" i="1"/>
  <c r="E27" i="1"/>
  <c r="E23" i="1"/>
  <c r="C25" i="1"/>
  <c r="F135" i="2"/>
  <c r="F130" i="2"/>
  <c r="E135" i="2"/>
  <c r="N115" i="1"/>
  <c r="N115" i="2"/>
  <c r="N104" i="2"/>
  <c r="N92" i="2"/>
  <c r="F126" i="2"/>
  <c r="B126" i="2"/>
  <c r="E126" i="2" s="1"/>
  <c r="F104" i="2"/>
  <c r="F112" i="2"/>
  <c r="F123" i="2" l="1"/>
  <c r="B112" i="2"/>
  <c r="E112" i="2" s="1"/>
  <c r="F92" i="2"/>
  <c r="F91" i="2"/>
  <c r="C37" i="2"/>
  <c r="C33" i="2"/>
  <c r="C29" i="2"/>
  <c r="E23" i="2"/>
  <c r="F114" i="2"/>
  <c r="F108" i="2"/>
  <c r="F100" i="2"/>
  <c r="F97" i="2"/>
  <c r="F94" i="2"/>
  <c r="F85" i="2"/>
  <c r="F78" i="2"/>
  <c r="F75" i="2"/>
  <c r="F64" i="2"/>
  <c r="F63" i="2"/>
  <c r="F60" i="2"/>
  <c r="N123" i="1"/>
  <c r="N109" i="1"/>
  <c r="N104" i="1"/>
  <c r="N101" i="1"/>
  <c r="N98" i="1"/>
  <c r="N95" i="1"/>
  <c r="N89" i="1"/>
  <c r="N86" i="1"/>
  <c r="N79" i="1"/>
  <c r="N76" i="1"/>
  <c r="N64" i="1"/>
  <c r="N61" i="1"/>
  <c r="F122" i="1"/>
  <c r="F118" i="1"/>
  <c r="F117" i="1"/>
  <c r="F115" i="1"/>
  <c r="F114" i="1"/>
  <c r="F109" i="1"/>
  <c r="F108" i="1"/>
  <c r="F101" i="1"/>
  <c r="F100" i="1"/>
  <c r="F98" i="1"/>
  <c r="F97" i="1"/>
  <c r="F95" i="1"/>
  <c r="F94" i="1"/>
  <c r="F91" i="1"/>
  <c r="F86" i="1"/>
  <c r="F85" i="1"/>
  <c r="F79" i="1"/>
  <c r="F78" i="1"/>
  <c r="F76" i="1"/>
  <c r="F75" i="1"/>
  <c r="F64" i="1"/>
  <c r="F63" i="1"/>
  <c r="F61" i="1"/>
  <c r="F60" i="1"/>
  <c r="B85" i="2"/>
  <c r="F122" i="2"/>
  <c r="F118" i="2"/>
  <c r="F117" i="2"/>
  <c r="F115" i="2"/>
  <c r="F109" i="2"/>
  <c r="F101" i="2"/>
  <c r="F98" i="2"/>
  <c r="F95" i="2"/>
  <c r="F86" i="2"/>
  <c r="F79" i="2"/>
  <c r="F76" i="2"/>
  <c r="F61" i="2"/>
  <c r="N101" i="2"/>
  <c r="N98" i="2"/>
  <c r="N89" i="2"/>
  <c r="N86" i="2"/>
  <c r="C47" i="1"/>
  <c r="B75" i="2"/>
  <c r="B123" i="1"/>
  <c r="E123" i="1" s="1"/>
  <c r="B118" i="1"/>
  <c r="B115" i="1"/>
  <c r="B109" i="1"/>
  <c r="B101" i="1"/>
  <c r="B79" i="1"/>
  <c r="B64" i="1"/>
  <c r="B61" i="1"/>
  <c r="B123" i="2"/>
  <c r="B118" i="2"/>
  <c r="B115" i="2"/>
  <c r="B109" i="2"/>
  <c r="B101" i="2"/>
  <c r="B79" i="2"/>
  <c r="B64" i="2"/>
  <c r="B61" i="2"/>
  <c r="E61" i="2" s="1"/>
  <c r="B75" i="1"/>
  <c r="B85" i="1"/>
  <c r="B86" i="1" s="1"/>
  <c r="E51" i="2"/>
  <c r="C47" i="2"/>
  <c r="E35" i="2"/>
  <c r="E31" i="2"/>
  <c r="E27" i="2"/>
  <c r="E51" i="1"/>
  <c r="B98" i="1"/>
  <c r="E98" i="1" s="1"/>
  <c r="E130" i="1"/>
  <c r="B98" i="2"/>
  <c r="B95" i="2"/>
  <c r="B92" i="2"/>
  <c r="E45" i="1" l="1"/>
  <c r="C45" i="1" s="1"/>
  <c r="B55" i="1" s="1"/>
  <c r="C45" i="2"/>
  <c r="B55" i="2" s="1"/>
  <c r="F104" i="1"/>
  <c r="F123" i="1"/>
  <c r="G104" i="2"/>
  <c r="G104" i="1"/>
  <c r="B104" i="1"/>
  <c r="E104" i="1" s="1"/>
  <c r="G76" i="1"/>
  <c r="E130" i="2"/>
  <c r="E104" i="2"/>
  <c r="E61" i="1"/>
  <c r="N95" i="2" l="1"/>
  <c r="G95" i="2"/>
  <c r="E98" i="2" l="1"/>
  <c r="H88" i="2"/>
  <c r="F88" i="2" s="1"/>
  <c r="F89" i="2" l="1"/>
  <c r="G88" i="2"/>
  <c r="E79" i="2"/>
  <c r="G79" i="1"/>
  <c r="G64" i="1"/>
  <c r="G79" i="2"/>
  <c r="G64" i="2"/>
  <c r="E64" i="2"/>
  <c r="E64" i="1"/>
  <c r="G122" i="2" l="1"/>
  <c r="G97" i="2"/>
  <c r="G114" i="2"/>
  <c r="G108" i="2"/>
  <c r="G101" i="2"/>
  <c r="G92" i="2"/>
  <c r="G86" i="2"/>
  <c r="G76" i="2"/>
  <c r="G61" i="2"/>
  <c r="N123" i="2"/>
  <c r="N109" i="2"/>
  <c r="N79" i="2"/>
  <c r="N76" i="2"/>
  <c r="N64" i="2"/>
  <c r="N61" i="2"/>
  <c r="G61" i="1"/>
  <c r="G86" i="1"/>
  <c r="G92" i="1"/>
  <c r="G95" i="1"/>
  <c r="G98" i="1"/>
  <c r="G101" i="1"/>
  <c r="G122" i="1"/>
  <c r="G109" i="1"/>
  <c r="G115" i="1"/>
  <c r="H88" i="1"/>
  <c r="N137" i="2" l="1"/>
  <c r="F88" i="1"/>
  <c r="G88" i="1"/>
  <c r="F89" i="1"/>
  <c r="B76" i="2"/>
  <c r="E76" i="2" s="1"/>
  <c r="B86" i="2"/>
  <c r="E86" i="2" s="1"/>
  <c r="E92" i="2"/>
  <c r="E95" i="2"/>
  <c r="E101" i="2"/>
  <c r="E109" i="2"/>
  <c r="E115" i="2"/>
  <c r="E118" i="2"/>
  <c r="E123" i="2"/>
  <c r="H137" i="2" l="1"/>
  <c r="E137" i="2" s="1"/>
  <c r="E120" i="2"/>
  <c r="B95" i="1"/>
  <c r="E95" i="1" s="1"/>
  <c r="E118" i="1" l="1"/>
  <c r="E115" i="1"/>
  <c r="E109" i="1"/>
  <c r="E120" i="1" l="1"/>
  <c r="E79" i="1"/>
  <c r="B76" i="1" l="1"/>
  <c r="E76" i="1" s="1"/>
  <c r="E86" i="1"/>
  <c r="E101" i="1" l="1"/>
  <c r="B92" i="1"/>
  <c r="E92" i="1" s="1"/>
  <c r="H137" i="1" s="1"/>
  <c r="E137" i="1" s="1"/>
</calcChain>
</file>

<file path=xl/sharedStrings.xml><?xml version="1.0" encoding="utf-8"?>
<sst xmlns="http://schemas.openxmlformats.org/spreadsheetml/2006/main" count="525" uniqueCount="210">
  <si>
    <t>Diese Spalten nicht drucken</t>
  </si>
  <si>
    <t xml:space="preserve">Punktesystem nachhaltige Weinproduktion – </t>
  </si>
  <si>
    <t>&lt;- Dieser Wert muss 0 sein vor Speichern</t>
  </si>
  <si>
    <t>Bemerkungen</t>
  </si>
  <si>
    <t>Fehlermeldung online</t>
  </si>
  <si>
    <t>Förderung der Biodiversität und der natürlichen Ressourcen</t>
  </si>
  <si>
    <t>Angaben zum Betrieb</t>
  </si>
  <si>
    <t>-</t>
  </si>
  <si>
    <t>Name des Bewirtschaftes/der Bewirtschafterin</t>
  </si>
  <si>
    <t>IP-Suisse Nr.</t>
  </si>
  <si>
    <t>Gemeinde</t>
  </si>
  <si>
    <t>Kanton</t>
  </si>
  <si>
    <t>A2</t>
  </si>
  <si>
    <t>Rebfläche (in Hektar)</t>
  </si>
  <si>
    <t>ha</t>
  </si>
  <si>
    <t>A5</t>
  </si>
  <si>
    <t>Einhaltung der gesetzlichen Bestimmungen inkl. ÖLN</t>
  </si>
  <si>
    <t>nein</t>
  </si>
  <si>
    <t>A6</t>
  </si>
  <si>
    <t>Einhaltung der guten landwirtschaftlichen Praxis</t>
  </si>
  <si>
    <t>Grundanforderungen</t>
  </si>
  <si>
    <t>G1</t>
  </si>
  <si>
    <t>berechneter Anteil der Rebfläche</t>
  </si>
  <si>
    <t>Spalte C: min 0, max Rebfläche</t>
  </si>
  <si>
    <t>La valeur doit être comprise en 0 et la surface viticole (voir la case encadrée)</t>
  </si>
  <si>
    <t>Die Fläche macht mindestens ⅔ der Reffläche aus</t>
  </si>
  <si>
    <t>G2</t>
  </si>
  <si>
    <t>Begrünung im Winter (in Hektar)</t>
  </si>
  <si>
    <t>G3</t>
  </si>
  <si>
    <t>Begrünung im Sommer (in Hektar)</t>
  </si>
  <si>
    <t>G4</t>
  </si>
  <si>
    <t>Alternierende Bewirtschaftung (in Hektar)</t>
  </si>
  <si>
    <t>G5</t>
  </si>
  <si>
    <t>Kein Entfernen der Vegetation in den Fahrgassen mit Dampf, Strom oder Hitze</t>
  </si>
  <si>
    <t>G6</t>
  </si>
  <si>
    <t>Eingeschränkte Liste von Fungiziden</t>
  </si>
  <si>
    <t>G7</t>
  </si>
  <si>
    <t>Nur Insektiziden und Akariziden die für den biologischen Landbau zugelassen sind</t>
  </si>
  <si>
    <t>G9</t>
  </si>
  <si>
    <t>Mind. 3,5 % BFF bis max. 50 m um die Rebfläche</t>
  </si>
  <si>
    <t>berechneter Anteil BFF (wird automatisch auf der Grundlage der in den Massnahmen B1 bis B5 und B8 eingegebenen Flächen berechnet)</t>
  </si>
  <si>
    <t>Formel in der Spalte C</t>
  </si>
  <si>
    <t>G10</t>
  </si>
  <si>
    <t xml:space="preserve">Minimale Anzahl an biodiversitätsfördernden Strukturen </t>
  </si>
  <si>
    <t>Dieser Wert wird automatisch auf der Grundlage der unter B9 eingegebenen Strukturen berechnet</t>
  </si>
  <si>
    <t>G11</t>
  </si>
  <si>
    <t>Einsatz von Überzeilennetze gegen Vogelfrass nur mit Sonderbewilligung</t>
  </si>
  <si>
    <t>Fläche (in Hektar) der mit Überzeilennetzen gegen Vogelfrass ausgestatteten Parzellen (siehe auch tolerierte Ausnahmen)</t>
  </si>
  <si>
    <t>G12</t>
  </si>
  <si>
    <t>Rebflächen, BFF und Strukturen sind in einer Skizze dokumentiert</t>
  </si>
  <si>
    <t>Formel in der Spalte B</t>
  </si>
  <si>
    <t>Punkte zur Förderung der Biodiversität</t>
  </si>
  <si>
    <t>Grenzwerte</t>
  </si>
  <si>
    <t>Zielwert</t>
  </si>
  <si>
    <t>Punkte</t>
  </si>
  <si>
    <t>Bedingung für … Punkte</t>
  </si>
  <si>
    <t>daraus abgeleitete Punkte</t>
  </si>
  <si>
    <t>B1</t>
  </si>
  <si>
    <t>Rebfläche mit natürlicher Artenvielfalt der Qualitätsstufe II (717)</t>
  </si>
  <si>
    <t>%</t>
  </si>
  <si>
    <t>Pkt:</t>
  </si>
  <si>
    <t>B2</t>
  </si>
  <si>
    <t>BFF-Hecken der Qualitätsstufe II bis max. 50 m um die Rebfläche (852)</t>
  </si>
  <si>
    <t>B3</t>
  </si>
  <si>
    <t>andere BFF der Qualitätsstufe II und mehrjährige BFF-Typen Ackerland bis max. 50 m um die Rebfläche</t>
  </si>
  <si>
    <t xml:space="preserve">   davon extensiv genutzte Wiese QII (611)</t>
  </si>
  <si>
    <t xml:space="preserve">   davon wenig intensiv genutzte Wiese QII (612)</t>
  </si>
  <si>
    <t xml:space="preserve">   davon extensiv genutzte Weide QII (617)</t>
  </si>
  <si>
    <t xml:space="preserve">   davon Buntbrache (556)</t>
  </si>
  <si>
    <t xml:space="preserve">   davon Rotati­onsbrache (557)</t>
  </si>
  <si>
    <t xml:space="preserve">   davon Saum auf Ackerland (559)</t>
  </si>
  <si>
    <t xml:space="preserve">   davon Ackerschonstreifen (555)</t>
  </si>
  <si>
    <t xml:space="preserve">   davon mehrjähriger Nützlingsstreifen auf offener
   Ackerfläche (572 mehrjährig)</t>
  </si>
  <si>
    <t>Spalte B: min 0, max Rebfläche</t>
  </si>
  <si>
    <t>B4</t>
  </si>
  <si>
    <t>BFF-Hecken mit Qualitätsstufe l bis max. 50 m um die Rebfläche (852)</t>
  </si>
  <si>
    <t>Pkt.:</t>
  </si>
  <si>
    <t>B5</t>
  </si>
  <si>
    <t>andere BFF mit Qualitätsstufe l bis max. 50 m um die Rebfläche</t>
  </si>
  <si>
    <t xml:space="preserve">   davon extensiv genutzte Wiese QI (611)</t>
  </si>
  <si>
    <t xml:space="preserve">   davon wenig intensiv genutzte Wiese QI (612)</t>
  </si>
  <si>
    <t xml:space="preserve">   davon extensiv genutzte Weide QI (617)</t>
  </si>
  <si>
    <t>B6</t>
  </si>
  <si>
    <t>Der Wert wird automatisch berechnet</t>
  </si>
  <si>
    <t>Typen</t>
  </si>
  <si>
    <t>B7</t>
  </si>
  <si>
    <t>Trockensteinmauern bis max. 50 m um die Rebfläche (inkl. Mauern die nicht als BFF angemeldet sind)</t>
  </si>
  <si>
    <t>m</t>
  </si>
  <si>
    <t xml:space="preserve"> m/ha</t>
  </si>
  <si>
    <t>B8</t>
  </si>
  <si>
    <t>B9</t>
  </si>
  <si>
    <t>Anzahl an biodiversitätsfördernden Strukturen bis max. 50 m um die Rebfläche</t>
  </si>
  <si>
    <t>Stk.</t>
  </si>
  <si>
    <t xml:space="preserve"> Stk./ha</t>
  </si>
  <si>
    <t>B10</t>
  </si>
  <si>
    <t>Rebflächen mit unbedecktem Boden auf ⅓ bis ⅔ der Rebfläche</t>
  </si>
  <si>
    <t>B11</t>
  </si>
  <si>
    <t>Nützlingsstreifen in den Rebflächen</t>
  </si>
  <si>
    <t>Punkte für eine ressourcenschonende Produktion</t>
  </si>
  <si>
    <t>P1a</t>
  </si>
  <si>
    <t>Verzicht auf Herbizide im Rebbau</t>
  </si>
  <si>
    <t>P1b</t>
  </si>
  <si>
    <t>Angemessene Bedeckung des Bodens im Rebbau</t>
  </si>
  <si>
    <t>P2a</t>
  </si>
  <si>
    <t>Verzicht auf Insektizide, Akarizide und Fungizide nach der Blüte im Rebbau (PSM die im biolog. Anbau zugelassen sind, erlaubt)</t>
  </si>
  <si>
    <t>P2b</t>
  </si>
  <si>
    <t>Bewirtschaftung mit Hilfsmitteln der biologischen Landwirtschaft im Rebbau</t>
  </si>
  <si>
    <t>grösserer Wert von P2a und P2b</t>
  </si>
  <si>
    <t>P3</t>
  </si>
  <si>
    <t>PiWi-Sorten</t>
  </si>
  <si>
    <t>P4</t>
  </si>
  <si>
    <t>Einsatz driftreduzierender Spritzgeräte</t>
  </si>
  <si>
    <t>Punkte für weitere Massnahmen</t>
  </si>
  <si>
    <t>M1</t>
  </si>
  <si>
    <t>Verwendung von standortangepassten Rebenpflanzen</t>
  </si>
  <si>
    <t>ja = 0.5 Pkt.</t>
  </si>
  <si>
    <t xml:space="preserve">M2 </t>
  </si>
  <si>
    <t>Spezifische Massnahmen für Zielarten</t>
  </si>
  <si>
    <t>Pkt.</t>
  </si>
  <si>
    <t>Max 3 Pkt.</t>
  </si>
  <si>
    <t>Punkte gemäss Bewertung IP-SUISSE</t>
  </si>
  <si>
    <t>M3</t>
  </si>
  <si>
    <t>Angemessene Bekämpfung invasiver gebietsfremder Pflanzen (Neophyten)</t>
  </si>
  <si>
    <t>Total Punkte</t>
  </si>
  <si>
    <t>Formel</t>
  </si>
  <si>
    <t>Ne pas imprimer ces colonnes</t>
  </si>
  <si>
    <t xml:space="preserve">Système de points pour une viticulture durable – </t>
  </si>
  <si>
    <t>&lt;- cette valeur doit être nulle avant enregistrement</t>
  </si>
  <si>
    <t>Remarques</t>
  </si>
  <si>
    <t>Rapport d'erreur online</t>
  </si>
  <si>
    <t>promotion de la biodiversité et des ressources naturelles </t>
  </si>
  <si>
    <t>Indications de l'exploitation</t>
  </si>
  <si>
    <t>Nom du/de la vigneron/ne</t>
  </si>
  <si>
    <t>N° IP-Suisse</t>
  </si>
  <si>
    <t>Commune</t>
  </si>
  <si>
    <t>Canton</t>
  </si>
  <si>
    <t>s</t>
  </si>
  <si>
    <t>Surface viticole (en hectares)</t>
  </si>
  <si>
    <t>Respect des prescriptions légales incl. PER</t>
  </si>
  <si>
    <t>non</t>
  </si>
  <si>
    <t>Respect des bonnes pratiques en viticulture</t>
  </si>
  <si>
    <t>Exigences de base</t>
  </si>
  <si>
    <t>Limitation des herbicides (en hectares)</t>
  </si>
  <si>
    <t>proportion de la surface viticole calculée</t>
  </si>
  <si>
    <t>La surface représente au moins ⅔ de la surface viticole</t>
  </si>
  <si>
    <t>Enherbement hivernal (en hectares)</t>
  </si>
  <si>
    <t>Enherbement estival (en hectares)</t>
  </si>
  <si>
    <t>Gestion alternée (en hectares)</t>
  </si>
  <si>
    <t>Aucune destruction de végétation avec de la vapeur, des décharges électriques ou de la chaleur dans les interlignes</t>
  </si>
  <si>
    <t>Liste restreinte de fongicides</t>
  </si>
  <si>
    <t>Emploi exclusif d'insecticides et acaricides autorisés en agriculture biologique</t>
  </si>
  <si>
    <t>Au moins 3,5 % de SPB à max 50 m de la surface viticole</t>
  </si>
  <si>
    <t>taux de SPB calculé (cette valeur est calculée automatiquement sur la base des surfaces saisies dans les mesures B1 à B5 et B8)</t>
  </si>
  <si>
    <t xml:space="preserve">Nombre minimal de structures favorisant la biodiversité </t>
  </si>
  <si>
    <t>cette valeur est calculée automatiquement sur la base des structures saisies sous B9</t>
  </si>
  <si>
    <t>Installation des filets de couverture contre les oiseaux causant des dégâts uniquement avec autorisation spéciale</t>
  </si>
  <si>
    <t>Surface viticole (en hectares) sur laquelle des filets de couverture sont installés contre les oiseaux causant des dégâts</t>
  </si>
  <si>
    <t>Les surfaces viticoles, SPB et petites structures sont documentées sur un croquis</t>
  </si>
  <si>
    <t>Points pour la promotion de la biodiversité</t>
  </si>
  <si>
    <t>Valeurs seuil</t>
  </si>
  <si>
    <t>Valeur-cible</t>
  </si>
  <si>
    <t>Points</t>
  </si>
  <si>
    <t>Condition pour … points</t>
  </si>
  <si>
    <t>Valeur cible</t>
  </si>
  <si>
    <t>nombre de points attribués</t>
  </si>
  <si>
    <t>Surfaces viticoles présentant une biodiversité naturelle de niveau de qualité II (717)</t>
  </si>
  <si>
    <t>Haies en SPB de niveau de qualité II à max 50 m de la surface viticole (852)</t>
  </si>
  <si>
    <t>Autres SPB de niveau de qualité II et SPB pluriannuelles sur terres assolées à max 50 m de la surface viticole</t>
  </si>
  <si>
    <t xml:space="preserve">   dont prairies extensives QII (611)</t>
  </si>
  <si>
    <t xml:space="preserve">   dont prairies peu intensives QII (612)</t>
  </si>
  <si>
    <t xml:space="preserve">   dont pâturages extensifs QII (617)</t>
  </si>
  <si>
    <t xml:space="preserve">   dont jachères florales  (556)</t>
  </si>
  <si>
    <t xml:space="preserve">   dont jachères tournantes (557)</t>
  </si>
  <si>
    <t xml:space="preserve">   dont ourlets sur terres assolées (559)</t>
  </si>
  <si>
    <t xml:space="preserve">   dont bandes culturales extensives (555)</t>
  </si>
  <si>
    <t xml:space="preserve">   dont bandes semées pour organismes utiles
   pluriannuelles dans les terres ouvertes
   (572 pluriannuelles)</t>
  </si>
  <si>
    <t>Haies en SPB de niveau de qualité I à max 50 m de la surface viticole (852)</t>
  </si>
  <si>
    <t>Autres SPB de niveau de qualité I à max 50 m de la surface viticole</t>
  </si>
  <si>
    <t xml:space="preserve">   dont prairies extensives QI (611)</t>
  </si>
  <si>
    <t xml:space="preserve">   dont prairies peu intensives QI (612)</t>
  </si>
  <si>
    <t xml:space="preserve">   dont pâturages extensifs QI (617)</t>
  </si>
  <si>
    <t>la valeur est calculée automatiquement</t>
  </si>
  <si>
    <t>types</t>
  </si>
  <si>
    <t>Murs en pierres sèches à max 50 m de la surface viticole (inclus murs non SPB)</t>
  </si>
  <si>
    <t>Nombre de structures favorisant à la biodiversité à max 50 m de la surface viticole</t>
  </si>
  <si>
    <t>Pces</t>
  </si>
  <si>
    <t>/ha</t>
  </si>
  <si>
    <t>Surfaces viticoles présentant entre ⅓ et ⅔ de sol nu</t>
  </si>
  <si>
    <t>Bandes semées pour organismes utiles dans la vigne</t>
  </si>
  <si>
    <t>Points pour une production préservant les ressources</t>
  </si>
  <si>
    <t>Non-recours aux herbicides dans la surface viticole</t>
  </si>
  <si>
    <t>Couverture appropriée du sol dans la surface viticole</t>
  </si>
  <si>
    <t>Non-recours aux insecticides, acaricides et fongicides après la floraison dans la surface viticole  (PPh homologués bio autorisés)</t>
  </si>
  <si>
    <t>Exploitation à l’aide d’intrants conformes à l’agriculture biologique dans la surface viticole</t>
  </si>
  <si>
    <t>Valeur supérieure de P2a et P2b</t>
  </si>
  <si>
    <t>Cépages résistants (PiWi)</t>
  </si>
  <si>
    <t>Emploi exclusif de pulvérisateurs limitant la dérive</t>
  </si>
  <si>
    <t>Points pour d'autres mesures</t>
  </si>
  <si>
    <t>Utilisation de plants de vigne adaptés au site</t>
  </si>
  <si>
    <t>Mesures spécifiques en faveur d'espèces cibles</t>
  </si>
  <si>
    <t>Pts</t>
  </si>
  <si>
    <t>Points selon l'évaluation d'IP-SUISSE</t>
  </si>
  <si>
    <t>Lutte appropriée contre les plantes exotiques envahissantes (néophytes)</t>
  </si>
  <si>
    <t>Points totaux</t>
  </si>
  <si>
    <t>Anzahl BFF-Typen in der Rebbauzone oder bis max. 50 m um die Rebfläche (ohne B7 und B8)</t>
  </si>
  <si>
    <t>Nombre de types de SPB à max 50 m de la surface viticole (sans B7 ni B8)</t>
  </si>
  <si>
    <t>Eingeschränkter Herbizideinsatz (in Hektar)</t>
  </si>
  <si>
    <t>Autres surfaces de valeur entretenues à max 50 m de la surface viticole</t>
  </si>
  <si>
    <t>Andere wertvolle Flächen die gepflegt sind bis max. 50 m um die Rebfläche</t>
  </si>
  <si>
    <t>oui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</si>
</sst>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-&gt; &quot;0.0&quot;% der Rebfläche&quot;"/>
    <numFmt numFmtId="165" formatCode="&quot;-&gt; &quot;0.0&quot; m/ha Rebfläche&quot;"/>
    <numFmt numFmtId="166" formatCode="&quot;-&gt; &quot;0.0&quot; Stk./ha Rebfläche&quot;"/>
    <numFmt numFmtId="167" formatCode="&quot;-&gt; &quot;0.0&quot;% de la surface viticole&quot;"/>
    <numFmt numFmtId="168" formatCode="&quot;-&gt; &quot;0.0&quot; m/ha de surface viticole&quot;"/>
    <numFmt numFmtId="169" formatCode="0.0%"/>
    <numFmt numFmtId="170" formatCode="&quot;-&gt; &quot;0.0&quot; petites structures/ha de surface viticole&quot;"/>
    <numFmt numFmtId="171" formatCode="&quot;Achtung: Ausnahmen bei der Grundanforderungen müssen durch &quot;0.0&quot; Punkte kompensiert werden.&quot;"/>
    <numFmt numFmtId="172" formatCode="&quot;-&gt; &quot;0.00&quot; ha&quot;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4"/>
      <color theme="3"/>
      <name val="Arial Narrow"/>
      <family val="2"/>
    </font>
    <font>
      <b/>
      <sz val="14"/>
      <color rgb="FFFF0000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18"/>
      <color theme="3"/>
      <name val="Arial Narrow"/>
      <family val="2"/>
    </font>
    <font>
      <sz val="11"/>
      <color rgb="FFFF0000"/>
      <name val="Arial Narrow"/>
      <family val="2"/>
    </font>
    <font>
      <b/>
      <sz val="14"/>
      <color theme="4" tint="-0.499984740745262"/>
      <name val="Arial Narrow"/>
      <family val="2"/>
    </font>
    <font>
      <sz val="11"/>
      <name val="Arial Narrow"/>
      <family val="2"/>
    </font>
    <font>
      <sz val="11"/>
      <color theme="0" tint="-0.14999847407452621"/>
      <name val="Arial Narrow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9"/>
      <name val="Arial Narrow"/>
      <family val="2"/>
    </font>
    <font>
      <b/>
      <sz val="14"/>
      <color theme="4" tint="-0.249977111117893"/>
      <name val="Arial Narrow"/>
      <family val="2"/>
    </font>
    <font>
      <b/>
      <sz val="11"/>
      <name val="Arial Narrow"/>
      <family val="2"/>
    </font>
    <font>
      <b/>
      <sz val="14"/>
      <color theme="1"/>
      <name val="Arial Narrow"/>
      <family val="2"/>
    </font>
    <font>
      <sz val="14"/>
      <color theme="1"/>
      <name val="Arial Narrow"/>
      <family val="2"/>
    </font>
    <font>
      <sz val="14"/>
      <color rgb="FFFF0000"/>
      <name val="Arial Narrow"/>
      <family val="2"/>
    </font>
    <font>
      <sz val="8"/>
      <name val="Calibri"/>
      <family val="2"/>
      <scheme val="minor"/>
    </font>
    <font>
      <sz val="10.5"/>
      <color rgb="FF221E1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88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 wrapText="1"/>
    </xf>
    <xf numFmtId="165" fontId="1" fillId="0" borderId="0" xfId="0" applyNumberFormat="1" applyFont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horizontal="right"/>
    </xf>
    <xf numFmtId="0" fontId="9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right" vertical="top" wrapText="1"/>
    </xf>
    <xf numFmtId="0" fontId="1" fillId="6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1" fillId="4" borderId="0" xfId="0" applyFont="1" applyFill="1" applyAlignment="1">
      <alignment horizontal="right" vertical="top"/>
    </xf>
    <xf numFmtId="0" fontId="10" fillId="3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wrapText="1"/>
    </xf>
    <xf numFmtId="0" fontId="1" fillId="2" borderId="0" xfId="0" applyFont="1" applyFill="1" applyAlignment="1" applyProtection="1">
      <alignment horizontal="left" vertical="top"/>
      <protection locked="0"/>
    </xf>
    <xf numFmtId="0" fontId="1" fillId="2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  <xf numFmtId="2" fontId="1" fillId="2" borderId="0" xfId="0" applyNumberFormat="1" applyFont="1" applyFill="1" applyAlignment="1" applyProtection="1">
      <alignment horizontal="left" vertical="top"/>
      <protection locked="0"/>
    </xf>
    <xf numFmtId="0" fontId="9" fillId="0" borderId="0" xfId="0" applyFont="1" applyAlignment="1">
      <alignment vertical="top" wrapText="1"/>
    </xf>
    <xf numFmtId="164" fontId="9" fillId="0" borderId="0" xfId="0" quotePrefix="1" applyNumberFormat="1" applyFont="1" applyAlignment="1">
      <alignment horizontal="left" vertical="top" wrapText="1"/>
    </xf>
    <xf numFmtId="166" fontId="9" fillId="0" borderId="0" xfId="0" applyNumberFormat="1" applyFont="1" applyAlignment="1">
      <alignment horizontal="left" vertical="top" wrapText="1"/>
    </xf>
    <xf numFmtId="165" fontId="9" fillId="0" borderId="0" xfId="0" applyNumberFormat="1" applyFont="1" applyAlignment="1">
      <alignment horizontal="left" vertical="top" wrapText="1"/>
    </xf>
    <xf numFmtId="2" fontId="9" fillId="0" borderId="0" xfId="0" applyNumberFormat="1" applyFont="1" applyAlignment="1">
      <alignment horizontal="left" vertical="top" wrapText="1"/>
    </xf>
    <xf numFmtId="0" fontId="1" fillId="4" borderId="0" xfId="0" applyFont="1" applyFill="1" applyAlignment="1">
      <alignment horizontal="left"/>
    </xf>
    <xf numFmtId="167" fontId="9" fillId="0" borderId="0" xfId="0" quotePrefix="1" applyNumberFormat="1" applyFont="1" applyAlignment="1">
      <alignment horizontal="left" vertical="top" wrapText="1"/>
    </xf>
    <xf numFmtId="168" fontId="9" fillId="0" borderId="0" xfId="0" applyNumberFormat="1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4" borderId="0" xfId="0" applyFont="1" applyFill="1" applyAlignment="1">
      <alignment horizontal="right"/>
    </xf>
    <xf numFmtId="0" fontId="5" fillId="4" borderId="0" xfId="0" applyFont="1" applyFill="1" applyAlignment="1">
      <alignment horizontal="left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169" fontId="1" fillId="0" borderId="0" xfId="1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170" fontId="9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169" fontId="9" fillId="0" borderId="0" xfId="1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5" fillId="4" borderId="0" xfId="0" applyFont="1" applyFill="1" applyAlignment="1">
      <alignment horizontal="right"/>
    </xf>
    <xf numFmtId="2" fontId="13" fillId="7" borderId="0" xfId="0" applyNumberFormat="1" applyFont="1" applyFill="1" applyAlignment="1">
      <alignment horizontal="left" vertical="top" wrapText="1"/>
    </xf>
    <xf numFmtId="0" fontId="1" fillId="6" borderId="0" xfId="0" applyFont="1" applyFill="1" applyAlignment="1">
      <alignment horizontal="right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16" fillId="5" borderId="0" xfId="0" applyFont="1" applyFill="1" applyAlignment="1">
      <alignment horizontal="left" vertical="top"/>
    </xf>
    <xf numFmtId="0" fontId="16" fillId="5" borderId="0" xfId="0" applyFont="1" applyFill="1" applyAlignment="1">
      <alignment horizontal="left" vertical="top" wrapText="1"/>
    </xf>
    <xf numFmtId="0" fontId="3" fillId="5" borderId="0" xfId="0" applyFont="1" applyFill="1" applyAlignment="1">
      <alignment horizontal="center" vertical="top"/>
    </xf>
    <xf numFmtId="0" fontId="17" fillId="3" borderId="0" xfId="0" applyFont="1" applyFill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left" vertical="top" wrapText="1"/>
    </xf>
    <xf numFmtId="0" fontId="17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/>
    </xf>
    <xf numFmtId="0" fontId="20" fillId="0" borderId="0" xfId="0" applyFont="1"/>
    <xf numFmtId="171" fontId="3" fillId="0" borderId="0" xfId="0" applyNumberFormat="1" applyFont="1" applyAlignment="1">
      <alignment horizontal="left" vertical="top" wrapText="1"/>
    </xf>
    <xf numFmtId="0" fontId="1" fillId="7" borderId="0" xfId="0" applyFont="1" applyFill="1" applyAlignment="1">
      <alignment horizontal="left" vertical="top"/>
    </xf>
    <xf numFmtId="0" fontId="9" fillId="6" borderId="0" xfId="0" applyFont="1" applyFill="1" applyAlignment="1">
      <alignment horizontal="right" vertical="top"/>
    </xf>
    <xf numFmtId="0" fontId="1" fillId="8" borderId="0" xfId="0" applyFont="1" applyFill="1" applyAlignment="1">
      <alignment horizontal="left" vertical="top"/>
    </xf>
    <xf numFmtId="0" fontId="17" fillId="8" borderId="0" xfId="0" applyFont="1" applyFill="1" applyAlignment="1">
      <alignment horizontal="left" vertical="top"/>
    </xf>
    <xf numFmtId="169" fontId="1" fillId="8" borderId="0" xfId="1" applyNumberFormat="1" applyFont="1" applyFill="1" applyAlignment="1">
      <alignment horizontal="left" vertical="top"/>
    </xf>
    <xf numFmtId="2" fontId="1" fillId="8" borderId="0" xfId="0" applyNumberFormat="1" applyFont="1" applyFill="1" applyAlignment="1">
      <alignment horizontal="left" vertical="top"/>
    </xf>
    <xf numFmtId="2" fontId="13" fillId="7" borderId="0" xfId="0" quotePrefix="1" applyNumberFormat="1" applyFont="1" applyFill="1" applyAlignment="1">
      <alignment horizontal="left" vertical="top"/>
    </xf>
    <xf numFmtId="0" fontId="1" fillId="7" borderId="0" xfId="0" applyFont="1" applyFill="1" applyAlignment="1">
      <alignment horizontal="left" vertical="top" wrapText="1"/>
    </xf>
    <xf numFmtId="0" fontId="1" fillId="7" borderId="0" xfId="0" applyFont="1" applyFill="1" applyAlignment="1">
      <alignment horizontal="right" vertical="top" wrapText="1"/>
    </xf>
    <xf numFmtId="0" fontId="1" fillId="8" borderId="0" xfId="0" applyFont="1" applyFill="1" applyAlignment="1">
      <alignment horizontal="left" vertical="top" wrapText="1"/>
    </xf>
    <xf numFmtId="2" fontId="1" fillId="0" borderId="0" xfId="0" applyNumberFormat="1" applyFont="1" applyAlignment="1" applyProtection="1">
      <alignment horizontal="left" vertical="top"/>
      <protection locked="0"/>
    </xf>
    <xf numFmtId="172" fontId="1" fillId="0" borderId="0" xfId="0" applyNumberFormat="1" applyFont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169" fontId="1" fillId="0" borderId="0" xfId="1" applyNumberFormat="1" applyFont="1" applyFill="1" applyAlignment="1">
      <alignment horizontal="center" vertical="top"/>
    </xf>
    <xf numFmtId="167" fontId="9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7" borderId="0" xfId="0" applyFont="1" applyFill="1" applyAlignment="1">
      <alignment horizontal="center" vertical="top"/>
    </xf>
  </cellXfs>
  <cellStyles count="2">
    <cellStyle name="Normal" xfId="0" builtinId="0"/>
    <cellStyle name="Pourcentage" xfId="1" builtinId="5"/>
  </cellStyles>
  <dxfs count="8"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  <dxf>
      <font>
        <color rgb="FF00B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340783</xdr:colOff>
      <xdr:row>0</xdr:row>
      <xdr:rowOff>208492</xdr:rowOff>
    </xdr:from>
    <xdr:to>
      <xdr:col>1</xdr:col>
      <xdr:colOff>2210858</xdr:colOff>
      <xdr:row>0</xdr:row>
      <xdr:rowOff>770467</xdr:rowOff>
    </xdr:to>
    <xdr:pic>
      <xdr:nvPicPr>
        <xdr:cNvPr id="2" name="Picture 8" descr="M:\Multimedia\Logos\Vogelwarte 2007\vogelwarte_kurz_rot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783" y="208492"/>
          <a:ext cx="18700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116416</xdr:colOff>
      <xdr:row>0</xdr:row>
      <xdr:rowOff>84667</xdr:rowOff>
    </xdr:from>
    <xdr:to>
      <xdr:col>0</xdr:col>
      <xdr:colOff>878416</xdr:colOff>
      <xdr:row>0</xdr:row>
      <xdr:rowOff>996252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9BD50BE-6DBF-4446-A1D0-36622D316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416" y="84667"/>
          <a:ext cx="762000" cy="911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192617</xdr:colOff>
      <xdr:row>0</xdr:row>
      <xdr:rowOff>155575</xdr:rowOff>
    </xdr:from>
    <xdr:ext cx="1872000" cy="561600"/>
    <xdr:pic>
      <xdr:nvPicPr>
        <xdr:cNvPr id="2" name="Picture 8" descr="M:\Multimedia\Logos\Vogelwarte 2007\vogelwarte_kurz_rot.t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" y="155575"/>
          <a:ext cx="1872000" cy="56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127000</xdr:colOff>
      <xdr:row>0</xdr:row>
      <xdr:rowOff>52916</xdr:rowOff>
    </xdr:from>
    <xdr:to>
      <xdr:col>0</xdr:col>
      <xdr:colOff>889000</xdr:colOff>
      <xdr:row>0</xdr:row>
      <xdr:rowOff>964501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E09CB68-5762-3646-8883-FC06F2E8D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52916"/>
          <a:ext cx="762000" cy="9115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7"/>
  <sheetViews>
    <sheetView tabSelected="1" topLeftCell="A51" zoomScale="90" zoomScaleNormal="90" zoomScaleSheetLayoutView="100" workbookViewId="0">
      <selection activeCell="F6" sqref="F6"/>
    </sheetView>
  </sheetViews>
  <sheetFormatPr baseColWidth="10" defaultColWidth="9.140625" defaultRowHeight="16.5" x14ac:dyDescent="0.25"/>
  <cols>
    <col min="1" max="1" width="13.28515625" style="1" customWidth="1"/>
    <col min="2" max="2" width="43.140625" style="2" customWidth="1"/>
    <col min="3" max="4" width="5.5703125" style="1" customWidth="1"/>
    <col min="5" max="5" width="5.5703125" style="39" customWidth="1"/>
    <col min="6" max="6" width="35.7109375" style="2" customWidth="1"/>
    <col min="7" max="7" width="9.42578125" style="2" customWidth="1"/>
    <col min="8" max="8" width="6.42578125" style="6" customWidth="1"/>
    <col min="9" max="9" width="5.5703125" style="6" customWidth="1"/>
    <col min="10" max="13" width="4.42578125" style="6" bestFit="1" customWidth="1"/>
    <col min="14" max="14" width="9.42578125" style="15" customWidth="1"/>
    <col min="15" max="15" width="34.5703125" style="72" customWidth="1"/>
    <col min="16" max="16" width="18.5703125" style="1" customWidth="1"/>
    <col min="17" max="16384" width="9.140625" style="1"/>
  </cols>
  <sheetData>
    <row r="1" spans="1:16" ht="79.5" customHeight="1" x14ac:dyDescent="0.25">
      <c r="H1" s="87" t="s">
        <v>0</v>
      </c>
      <c r="I1" s="87"/>
      <c r="J1" s="87"/>
      <c r="K1" s="87"/>
      <c r="L1" s="87"/>
      <c r="M1" s="87"/>
      <c r="N1" s="87"/>
      <c r="O1" s="87"/>
      <c r="P1" s="87"/>
    </row>
    <row r="2" spans="1:16" ht="23.25" x14ac:dyDescent="0.25">
      <c r="A2" s="9" t="s">
        <v>1</v>
      </c>
      <c r="H2" s="50">
        <f>COUNTA(C7,C9,C11,C13)+SUM(vitic,C23,C27,C31,C35,C51,C60,C63,C67,C68,C69,C70,C71,C72,C73,C74,C78,C82,C83,C84,C91,C94,C97,C100,C103,C108,C111,C114,C117,C122,C125,C132)-10+SUM(C17="ja",C19="ja",C39="ja",C41="ja",C43="ja",C49="ja",C53="ja",C130="ja",C135="ja")</f>
        <v>-10</v>
      </c>
      <c r="I2" s="76" t="s">
        <v>2</v>
      </c>
      <c r="J2" s="70"/>
      <c r="K2" s="70"/>
      <c r="L2" s="70"/>
      <c r="M2" s="70"/>
      <c r="N2" s="78"/>
      <c r="O2" s="70" t="s">
        <v>3</v>
      </c>
      <c r="P2" s="70" t="s">
        <v>4</v>
      </c>
    </row>
    <row r="3" spans="1:16" ht="23.25" x14ac:dyDescent="0.25">
      <c r="A3" s="9" t="s">
        <v>5</v>
      </c>
    </row>
    <row r="4" spans="1:16" s="62" customFormat="1" ht="18" x14ac:dyDescent="0.25">
      <c r="A4" s="85">
        <v>45759</v>
      </c>
      <c r="D4" s="63"/>
      <c r="E4" s="64"/>
      <c r="F4" s="65"/>
      <c r="G4" s="65"/>
      <c r="H4" s="59"/>
      <c r="I4" s="59"/>
      <c r="J4" s="59"/>
      <c r="K4" s="59"/>
      <c r="L4" s="59"/>
      <c r="M4" s="59"/>
      <c r="N4" s="66"/>
      <c r="O4" s="73"/>
    </row>
    <row r="5" spans="1:16" x14ac:dyDescent="0.25">
      <c r="D5" s="10"/>
    </row>
    <row r="6" spans="1:16" ht="18" x14ac:dyDescent="0.25">
      <c r="A6" s="3" t="s">
        <v>6</v>
      </c>
    </row>
    <row r="7" spans="1:16" x14ac:dyDescent="0.25">
      <c r="A7" s="1" t="s">
        <v>7</v>
      </c>
      <c r="B7" s="26" t="s">
        <v>8</v>
      </c>
      <c r="C7" s="24"/>
      <c r="D7" s="25"/>
      <c r="E7" s="40"/>
    </row>
    <row r="8" spans="1:16" ht="4.5" customHeight="1" x14ac:dyDescent="0.25">
      <c r="B8" s="26"/>
    </row>
    <row r="9" spans="1:16" x14ac:dyDescent="0.25">
      <c r="A9" s="1" t="s">
        <v>7</v>
      </c>
      <c r="B9" s="26" t="s">
        <v>9</v>
      </c>
      <c r="C9" s="24"/>
      <c r="D9" s="24"/>
      <c r="E9" s="24"/>
    </row>
    <row r="10" spans="1:16" ht="4.5" customHeight="1" x14ac:dyDescent="0.25">
      <c r="B10" s="26"/>
    </row>
    <row r="11" spans="1:16" x14ac:dyDescent="0.25">
      <c r="A11" s="1" t="s">
        <v>7</v>
      </c>
      <c r="B11" s="26" t="s">
        <v>10</v>
      </c>
      <c r="C11" s="24"/>
      <c r="D11" s="25"/>
      <c r="E11" s="40"/>
      <c r="G11" s="36"/>
    </row>
    <row r="12" spans="1:16" ht="4.5" customHeight="1" x14ac:dyDescent="0.25">
      <c r="B12" s="26"/>
    </row>
    <row r="13" spans="1:16" x14ac:dyDescent="0.25">
      <c r="A13" s="1" t="s">
        <v>7</v>
      </c>
      <c r="B13" s="26" t="s">
        <v>11</v>
      </c>
      <c r="C13" s="24"/>
      <c r="D13" s="25"/>
      <c r="E13" s="40"/>
      <c r="G13" s="36"/>
    </row>
    <row r="14" spans="1:16" ht="4.5" customHeight="1" x14ac:dyDescent="0.25">
      <c r="B14" s="26"/>
    </row>
    <row r="15" spans="1:16" x14ac:dyDescent="0.25">
      <c r="A15" s="1" t="s">
        <v>12</v>
      </c>
      <c r="B15" s="26" t="s">
        <v>13</v>
      </c>
      <c r="C15" s="27"/>
      <c r="D15" s="1" t="s">
        <v>14</v>
      </c>
    </row>
    <row r="16" spans="1:16" ht="4.5" customHeight="1" x14ac:dyDescent="0.25">
      <c r="B16" s="26"/>
    </row>
    <row r="17" spans="1:16" ht="33" x14ac:dyDescent="0.25">
      <c r="A17" s="1" t="s">
        <v>15</v>
      </c>
      <c r="B17" s="2" t="s">
        <v>16</v>
      </c>
      <c r="C17" s="24" t="s">
        <v>17</v>
      </c>
      <c r="E17" s="41"/>
    </row>
    <row r="18" spans="1:16" ht="4.5" customHeight="1" x14ac:dyDescent="0.25">
      <c r="B18" s="26"/>
    </row>
    <row r="19" spans="1:16" x14ac:dyDescent="0.25">
      <c r="A19" s="1" t="s">
        <v>18</v>
      </c>
      <c r="B19" s="2" t="s">
        <v>19</v>
      </c>
      <c r="C19" s="24" t="s">
        <v>17</v>
      </c>
      <c r="E19" s="41"/>
    </row>
    <row r="20" spans="1:16" x14ac:dyDescent="0.25">
      <c r="N20" s="17"/>
    </row>
    <row r="21" spans="1:16" ht="18" x14ac:dyDescent="0.25">
      <c r="A21" s="3" t="s">
        <v>20</v>
      </c>
      <c r="N21" s="17"/>
    </row>
    <row r="22" spans="1:16" ht="4.5" customHeight="1" x14ac:dyDescent="0.25">
      <c r="N22" s="17"/>
    </row>
    <row r="23" spans="1:16" x14ac:dyDescent="0.25">
      <c r="A23" s="1" t="s">
        <v>21</v>
      </c>
      <c r="B23" s="28" t="s">
        <v>206</v>
      </c>
      <c r="C23" s="27"/>
      <c r="D23" s="1" t="s">
        <v>14</v>
      </c>
      <c r="E23" s="41" t="e">
        <f>C23/Rebfläche</f>
        <v>#DIV/0!</v>
      </c>
      <c r="F23" s="2" t="s">
        <v>22</v>
      </c>
      <c r="N23" s="17"/>
      <c r="O23" s="72" t="s">
        <v>23</v>
      </c>
      <c r="P23" s="70" t="s">
        <v>24</v>
      </c>
    </row>
    <row r="24" spans="1:16" ht="4.5" customHeight="1" x14ac:dyDescent="0.25">
      <c r="C24" s="82"/>
      <c r="N24" s="17"/>
    </row>
    <row r="25" spans="1:16" x14ac:dyDescent="0.25">
      <c r="B25" s="2" t="s">
        <v>25</v>
      </c>
      <c r="C25" s="1" t="str">
        <f>IF(C23&gt;=Rebfläche*2/3,"ja","nein")</f>
        <v>ja</v>
      </c>
      <c r="N25" s="17"/>
    </row>
    <row r="26" spans="1:16" ht="4.5" customHeight="1" x14ac:dyDescent="0.25">
      <c r="N26" s="17"/>
    </row>
    <row r="27" spans="1:16" x14ac:dyDescent="0.25">
      <c r="A27" s="1" t="s">
        <v>26</v>
      </c>
      <c r="B27" s="28" t="s">
        <v>27</v>
      </c>
      <c r="C27" s="27">
        <v>0</v>
      </c>
      <c r="D27" s="1" t="s">
        <v>14</v>
      </c>
      <c r="E27" s="41" t="e">
        <f>C27/Rebfläche</f>
        <v>#DIV/0!</v>
      </c>
      <c r="F27" s="2" t="s">
        <v>22</v>
      </c>
      <c r="N27" s="17"/>
      <c r="O27" s="72" t="s">
        <v>23</v>
      </c>
      <c r="P27" s="70" t="s">
        <v>24</v>
      </c>
    </row>
    <row r="28" spans="1:16" ht="4.5" customHeight="1" x14ac:dyDescent="0.25">
      <c r="N28" s="17"/>
    </row>
    <row r="29" spans="1:16" x14ac:dyDescent="0.25">
      <c r="B29" s="2" t="s">
        <v>25</v>
      </c>
      <c r="C29" s="1" t="str">
        <f>IF(C27&gt;=Rebfläche*2/3,"ja","nein")</f>
        <v>ja</v>
      </c>
      <c r="N29" s="17"/>
    </row>
    <row r="30" spans="1:16" ht="4.5" customHeight="1" x14ac:dyDescent="0.25">
      <c r="B30" s="26"/>
      <c r="N30" s="17"/>
    </row>
    <row r="31" spans="1:16" x14ac:dyDescent="0.25">
      <c r="A31" s="1" t="s">
        <v>28</v>
      </c>
      <c r="B31" s="28" t="s">
        <v>29</v>
      </c>
      <c r="C31" s="27">
        <v>0</v>
      </c>
      <c r="D31" s="1" t="s">
        <v>14</v>
      </c>
      <c r="E31" s="41" t="e">
        <f>C31/Rebfläche</f>
        <v>#DIV/0!</v>
      </c>
      <c r="F31" s="2" t="s">
        <v>22</v>
      </c>
      <c r="N31" s="17"/>
      <c r="O31" s="72" t="s">
        <v>23</v>
      </c>
      <c r="P31" s="70" t="s">
        <v>24</v>
      </c>
    </row>
    <row r="32" spans="1:16" ht="4.5" customHeight="1" x14ac:dyDescent="0.25">
      <c r="N32" s="17"/>
    </row>
    <row r="33" spans="1:16" x14ac:dyDescent="0.25">
      <c r="B33" s="2" t="s">
        <v>25</v>
      </c>
      <c r="C33" s="1" t="str">
        <f>IF(C31&gt;=Rebfläche*2/3,"ja","nein")</f>
        <v>ja</v>
      </c>
      <c r="F33" s="11"/>
      <c r="N33" s="17"/>
    </row>
    <row r="34" spans="1:16" ht="4.5" customHeight="1" x14ac:dyDescent="0.25">
      <c r="B34" s="28"/>
      <c r="N34" s="17"/>
    </row>
    <row r="35" spans="1:16" x14ac:dyDescent="0.25">
      <c r="A35" s="1" t="s">
        <v>30</v>
      </c>
      <c r="B35" s="28" t="s">
        <v>31</v>
      </c>
      <c r="C35" s="27">
        <v>0</v>
      </c>
      <c r="D35" s="1" t="s">
        <v>14</v>
      </c>
      <c r="E35" s="41" t="e">
        <f>C35/Rebfläche</f>
        <v>#DIV/0!</v>
      </c>
      <c r="F35" s="2" t="s">
        <v>22</v>
      </c>
      <c r="N35" s="17"/>
      <c r="O35" s="72" t="s">
        <v>23</v>
      </c>
      <c r="P35" s="70" t="s">
        <v>24</v>
      </c>
    </row>
    <row r="36" spans="1:16" ht="4.5" customHeight="1" x14ac:dyDescent="0.25">
      <c r="N36" s="17"/>
    </row>
    <row r="37" spans="1:16" x14ac:dyDescent="0.25">
      <c r="B37" s="2" t="s">
        <v>25</v>
      </c>
      <c r="C37" s="1" t="str">
        <f>IF(C35&gt;=Rebfläche*2/3,"ja","nein")</f>
        <v>ja</v>
      </c>
      <c r="N37" s="17"/>
    </row>
    <row r="38" spans="1:16" ht="4.5" customHeight="1" x14ac:dyDescent="0.25">
      <c r="B38" s="26"/>
      <c r="F38" s="11"/>
      <c r="N38" s="17"/>
    </row>
    <row r="39" spans="1:16" ht="33" x14ac:dyDescent="0.25">
      <c r="A39" s="1" t="s">
        <v>32</v>
      </c>
      <c r="B39" s="28" t="s">
        <v>33</v>
      </c>
      <c r="C39" s="24" t="s">
        <v>17</v>
      </c>
      <c r="N39" s="17"/>
    </row>
    <row r="40" spans="1:16" ht="4.5" customHeight="1" x14ac:dyDescent="0.25">
      <c r="B40" s="26"/>
      <c r="F40" s="11"/>
      <c r="N40" s="17"/>
    </row>
    <row r="41" spans="1:16" ht="16.350000000000001" customHeight="1" x14ac:dyDescent="0.25">
      <c r="A41" s="1" t="s">
        <v>34</v>
      </c>
      <c r="B41" s="26" t="s">
        <v>35</v>
      </c>
      <c r="C41" s="24" t="s">
        <v>17</v>
      </c>
      <c r="N41" s="17"/>
    </row>
    <row r="42" spans="1:16" ht="4.5" customHeight="1" x14ac:dyDescent="0.25">
      <c r="B42" s="26"/>
      <c r="F42" s="11"/>
      <c r="N42" s="17"/>
    </row>
    <row r="43" spans="1:16" ht="33" x14ac:dyDescent="0.25">
      <c r="A43" s="1" t="s">
        <v>36</v>
      </c>
      <c r="B43" s="28" t="s">
        <v>37</v>
      </c>
      <c r="C43" s="24" t="s">
        <v>17</v>
      </c>
      <c r="N43" s="17"/>
    </row>
    <row r="44" spans="1:16" ht="4.5" customHeight="1" x14ac:dyDescent="0.25">
      <c r="B44" s="26"/>
      <c r="F44" s="11"/>
      <c r="N44" s="17"/>
    </row>
    <row r="45" spans="1:16" ht="66" x14ac:dyDescent="0.25">
      <c r="A45" s="1" t="s">
        <v>38</v>
      </c>
      <c r="B45" s="2" t="s">
        <v>39</v>
      </c>
      <c r="C45" s="1" t="e">
        <f>+IF(E45&gt;=0.035,"ja", "nein")</f>
        <v>#DIV/0!</v>
      </c>
      <c r="E45" s="83" t="e">
        <f>+(RebenQII+HeckenQII+HeckenQI+andereQII+andereQI+BFF_ohne_Beiträge)/Rebfläche</f>
        <v>#DIV/0!</v>
      </c>
      <c r="F45" s="2" t="s">
        <v>40</v>
      </c>
      <c r="N45" s="17"/>
      <c r="O45" s="72" t="s">
        <v>41</v>
      </c>
    </row>
    <row r="46" spans="1:16" ht="4.5" customHeight="1" x14ac:dyDescent="0.25">
      <c r="N46" s="17"/>
    </row>
    <row r="47" spans="1:16" ht="49.5" x14ac:dyDescent="0.25">
      <c r="A47" s="1" t="s">
        <v>42</v>
      </c>
      <c r="B47" s="2" t="s">
        <v>43</v>
      </c>
      <c r="C47" s="1" t="str">
        <f>IF(C97&gt;=(ROUNDUP(Rebfläche,0)),"ja","nein")</f>
        <v>ja</v>
      </c>
      <c r="E47" s="48"/>
      <c r="F47" s="2" t="s">
        <v>44</v>
      </c>
      <c r="N47" s="17"/>
      <c r="O47" s="72" t="s">
        <v>41</v>
      </c>
    </row>
    <row r="48" spans="1:16" ht="4.5" customHeight="1" x14ac:dyDescent="0.25">
      <c r="E48" s="48"/>
      <c r="N48" s="17"/>
    </row>
    <row r="49" spans="1:16" ht="33" x14ac:dyDescent="0.25">
      <c r="A49" s="1" t="s">
        <v>45</v>
      </c>
      <c r="B49" s="2" t="s">
        <v>46</v>
      </c>
      <c r="C49" s="24" t="s">
        <v>17</v>
      </c>
      <c r="E49" s="48"/>
      <c r="G49" s="1"/>
      <c r="N49" s="17"/>
    </row>
    <row r="50" spans="1:16" ht="4.5" customHeight="1" x14ac:dyDescent="0.25">
      <c r="A50" s="10"/>
      <c r="B50" s="26"/>
      <c r="E50" s="42"/>
      <c r="F50" s="11"/>
      <c r="N50" s="17"/>
    </row>
    <row r="51" spans="1:16" ht="49.5" x14ac:dyDescent="0.2">
      <c r="B51" s="2" t="s">
        <v>47</v>
      </c>
      <c r="C51" s="27">
        <v>0</v>
      </c>
      <c r="D51" s="1" t="s">
        <v>14</v>
      </c>
      <c r="E51" s="41" t="e">
        <f>C51/Rebfläche</f>
        <v>#DIV/0!</v>
      </c>
      <c r="F51" s="2" t="s">
        <v>22</v>
      </c>
      <c r="G51" s="68"/>
      <c r="N51" s="17"/>
      <c r="O51" s="72" t="s">
        <v>23</v>
      </c>
      <c r="P51" s="70" t="s">
        <v>24</v>
      </c>
    </row>
    <row r="52" spans="1:16" ht="4.5" customHeight="1" x14ac:dyDescent="0.25">
      <c r="A52" s="10"/>
      <c r="B52" s="26"/>
      <c r="E52" s="42"/>
      <c r="F52" s="11"/>
      <c r="N52" s="17"/>
    </row>
    <row r="53" spans="1:16" ht="33" x14ac:dyDescent="0.25">
      <c r="A53" s="1" t="s">
        <v>48</v>
      </c>
      <c r="B53" s="26" t="s">
        <v>49</v>
      </c>
      <c r="C53" s="24" t="s">
        <v>17</v>
      </c>
      <c r="N53" s="17"/>
    </row>
    <row r="54" spans="1:16" ht="4.5" customHeight="1" x14ac:dyDescent="0.25">
      <c r="B54" s="26"/>
      <c r="F54" s="11"/>
      <c r="N54" s="17"/>
    </row>
    <row r="55" spans="1:16" ht="18" customHeight="1" x14ac:dyDescent="0.25">
      <c r="B55" s="86" t="e">
        <f>IF(SUM(C25="ja",C29="ja",C33="ja",C37="ja",C39="ja",C41="ja",C43="ja",C45="ja",C47="ja",C49="ja",C53="ja",)=11,"Grundanforderungen sind erfüllt", "Achtung: es sind nicht alle Grundanforderungen erfüllt")</f>
        <v>#DIV/0!</v>
      </c>
      <c r="C55" s="86"/>
      <c r="D55" s="86"/>
      <c r="E55" s="86"/>
      <c r="F55" s="86"/>
      <c r="G55" s="86"/>
      <c r="N55" s="71"/>
      <c r="O55" s="72" t="s">
        <v>50</v>
      </c>
    </row>
    <row r="56" spans="1:16" ht="18" x14ac:dyDescent="0.25">
      <c r="B56" s="8"/>
      <c r="C56" s="8"/>
      <c r="D56" s="8"/>
      <c r="E56" s="8"/>
      <c r="F56" s="8"/>
      <c r="G56" s="8"/>
      <c r="I56" s="22"/>
      <c r="N56" s="16"/>
    </row>
    <row r="57" spans="1:16" ht="18" x14ac:dyDescent="0.3">
      <c r="A57" s="45" t="s">
        <v>51</v>
      </c>
      <c r="H57" s="19"/>
      <c r="I57" s="19" t="s">
        <v>52</v>
      </c>
      <c r="J57" s="19"/>
      <c r="K57" s="19"/>
      <c r="L57" s="19"/>
      <c r="N57" s="23" t="s">
        <v>53</v>
      </c>
    </row>
    <row r="58" spans="1:16" ht="16.5" customHeight="1" x14ac:dyDescent="0.3">
      <c r="E58" s="39" t="s">
        <v>54</v>
      </c>
      <c r="F58" s="2" t="s">
        <v>55</v>
      </c>
      <c r="G58" s="2" t="s">
        <v>53</v>
      </c>
      <c r="I58" s="33" t="s">
        <v>56</v>
      </c>
      <c r="J58" s="33"/>
      <c r="K58" s="33"/>
      <c r="L58" s="33"/>
      <c r="M58" s="33"/>
    </row>
    <row r="59" spans="1:16" ht="4.5" customHeight="1" x14ac:dyDescent="0.25"/>
    <row r="60" spans="1:16" ht="33" x14ac:dyDescent="0.3">
      <c r="A60" s="1" t="s">
        <v>57</v>
      </c>
      <c r="B60" s="26" t="s">
        <v>58</v>
      </c>
      <c r="C60" s="27">
        <v>0</v>
      </c>
      <c r="D60" s="1" t="s">
        <v>14</v>
      </c>
      <c r="F60" s="54" t="str">
        <f>+"&gt;"&amp;I60&amp;" bis "&amp;J60&amp;H60&amp;" = "&amp;I61&amp;" Pkt.; &gt;"&amp;J60&amp;" bis "&amp;K60&amp;H60&amp;" = "&amp;J61&amp;" Pkt."</f>
        <v>&gt;7 bis 15% = 1 Pkt.; &gt;15 bis 30% = 2 Pkt.</v>
      </c>
      <c r="G60" s="52"/>
      <c r="H60" s="19" t="s">
        <v>59</v>
      </c>
      <c r="I60" s="19">
        <v>7</v>
      </c>
      <c r="J60" s="19">
        <v>15</v>
      </c>
      <c r="K60" s="20">
        <v>30</v>
      </c>
      <c r="L60" s="19">
        <v>60</v>
      </c>
      <c r="M60" s="19"/>
      <c r="N60" s="23"/>
      <c r="O60" s="72" t="s">
        <v>23</v>
      </c>
      <c r="P60" s="70" t="s">
        <v>24</v>
      </c>
    </row>
    <row r="61" spans="1:16" x14ac:dyDescent="0.3">
      <c r="B61" s="29" t="e">
        <f>+C60/Rebfläche*100</f>
        <v>#DIV/0!</v>
      </c>
      <c r="E61" s="42" t="e">
        <f>+IF(B61&gt;L60,L61,IF(B61&gt;K60,K61,IF(B61&gt;J60,J61,IF(B61&gt;I60,I61,0))))</f>
        <v>#DIV/0!</v>
      </c>
      <c r="F61" s="2" t="str">
        <f>+"&gt;"&amp;K60&amp;" bis "&amp;L60&amp;H60&amp;" = "&amp;K61&amp;" Pkt.; &gt;"&amp;L60&amp;H60&amp;" = "&amp;L61&amp;" Pkt."</f>
        <v>&gt;30 bis 60% = 3 Pkt.; &gt;60% = 4 Pkt.</v>
      </c>
      <c r="G61" s="2" t="str">
        <f>+"&gt;"&amp;K60&amp;H60</f>
        <v>&gt;30%</v>
      </c>
      <c r="H61" s="6" t="s">
        <v>60</v>
      </c>
      <c r="I61" s="13">
        <v>1</v>
      </c>
      <c r="J61" s="13">
        <v>2</v>
      </c>
      <c r="K61" s="37">
        <v>3</v>
      </c>
      <c r="L61" s="13">
        <v>4</v>
      </c>
      <c r="M61" s="13"/>
      <c r="N61" s="17">
        <f>+K61</f>
        <v>3</v>
      </c>
    </row>
    <row r="62" spans="1:16" ht="4.5" customHeight="1" x14ac:dyDescent="0.25">
      <c r="B62" s="29"/>
      <c r="E62" s="42"/>
      <c r="J62" s="7"/>
      <c r="N62" s="17"/>
    </row>
    <row r="63" spans="1:16" ht="33" x14ac:dyDescent="0.3">
      <c r="A63" s="1" t="s">
        <v>61</v>
      </c>
      <c r="B63" s="26" t="s">
        <v>62</v>
      </c>
      <c r="C63" s="27">
        <v>0</v>
      </c>
      <c r="D63" s="1" t="s">
        <v>14</v>
      </c>
      <c r="F63" s="54" t="str">
        <f>+"&gt;"&amp;I63&amp;" bis "&amp;J63&amp;H63&amp;" = "&amp;I64&amp;" Pkt.; &gt;"&amp;J63&amp;" bis "&amp;K63&amp;H63&amp;" = "&amp;J64&amp;" Pkt."</f>
        <v>&gt;0,5 bis 1,5% = 1 Pkt.; &gt;1,5 bis 2,5% = 2 Pkt.</v>
      </c>
      <c r="H63" s="19" t="s">
        <v>59</v>
      </c>
      <c r="I63" s="20">
        <v>0.5</v>
      </c>
      <c r="J63" s="19">
        <v>1.5</v>
      </c>
      <c r="K63" s="19">
        <v>2.5</v>
      </c>
      <c r="L63" s="19">
        <v>4</v>
      </c>
      <c r="M63" s="19"/>
      <c r="N63" s="51"/>
      <c r="O63" s="72" t="s">
        <v>23</v>
      </c>
      <c r="P63" s="70" t="s">
        <v>24</v>
      </c>
    </row>
    <row r="64" spans="1:16" x14ac:dyDescent="0.3">
      <c r="B64" s="29" t="e">
        <f>+C63/Rebfläche*100</f>
        <v>#DIV/0!</v>
      </c>
      <c r="E64" s="42" t="e">
        <f>+IF(B64&gt;L63,L64,IF(B64&gt;K63,K64,IF(B64&gt;J63,J64,IF(B64&gt;I63,I64,0))))</f>
        <v>#DIV/0!</v>
      </c>
      <c r="F64" s="2" t="str">
        <f>+"&gt;"&amp;K63&amp;" bis "&amp;L63&amp;H63&amp;" = "&amp;K64&amp;" Pkt.; &gt;"&amp;L63&amp;H63&amp;" = "&amp;L64&amp;" Pkt."</f>
        <v>&gt;2,5 bis 4% = 4 Pkt.; &gt;4% = 6 Pkt.</v>
      </c>
      <c r="G64" s="54" t="str">
        <f>+"&gt;"&amp;I63&amp;H63</f>
        <v>&gt;0,5%</v>
      </c>
      <c r="H64" s="6" t="s">
        <v>60</v>
      </c>
      <c r="I64" s="37">
        <v>1</v>
      </c>
      <c r="J64" s="13">
        <v>2</v>
      </c>
      <c r="K64" s="13">
        <v>4</v>
      </c>
      <c r="L64" s="13">
        <v>6</v>
      </c>
      <c r="M64" s="13"/>
      <c r="N64" s="17">
        <f>+I64</f>
        <v>1</v>
      </c>
    </row>
    <row r="65" spans="1:16" ht="4.5" customHeight="1" x14ac:dyDescent="0.25">
      <c r="B65" s="29"/>
      <c r="E65" s="42"/>
      <c r="N65" s="17"/>
    </row>
    <row r="66" spans="1:16" ht="49.5" x14ac:dyDescent="0.3">
      <c r="A66" s="1" t="s">
        <v>63</v>
      </c>
      <c r="B66" s="26" t="s">
        <v>64</v>
      </c>
      <c r="F66" s="1"/>
      <c r="G66" s="1"/>
      <c r="N66" s="51"/>
    </row>
    <row r="67" spans="1:16" x14ac:dyDescent="0.3">
      <c r="B67" s="26" t="s">
        <v>65</v>
      </c>
      <c r="C67" s="27">
        <v>0</v>
      </c>
      <c r="D67" s="1" t="s">
        <v>14</v>
      </c>
      <c r="F67" s="54"/>
      <c r="H67" s="19"/>
      <c r="I67" s="19"/>
      <c r="J67" s="20"/>
      <c r="K67" s="19"/>
      <c r="L67" s="19"/>
      <c r="M67" s="19"/>
      <c r="N67" s="17"/>
      <c r="O67" s="72" t="s">
        <v>23</v>
      </c>
      <c r="P67" s="70" t="s">
        <v>24</v>
      </c>
    </row>
    <row r="68" spans="1:16" x14ac:dyDescent="0.3">
      <c r="B68" s="26" t="s">
        <v>66</v>
      </c>
      <c r="C68" s="27">
        <v>0</v>
      </c>
      <c r="D68" s="1" t="s">
        <v>14</v>
      </c>
      <c r="F68" s="54"/>
      <c r="H68" s="19"/>
      <c r="I68" s="19"/>
      <c r="J68" s="20"/>
      <c r="K68" s="19"/>
      <c r="L68" s="19"/>
      <c r="M68" s="19"/>
      <c r="N68" s="17"/>
      <c r="O68" s="72" t="s">
        <v>23</v>
      </c>
      <c r="P68" s="70" t="s">
        <v>24</v>
      </c>
    </row>
    <row r="69" spans="1:16" x14ac:dyDescent="0.3">
      <c r="B69" s="26" t="s">
        <v>67</v>
      </c>
      <c r="C69" s="27">
        <v>0</v>
      </c>
      <c r="D69" s="1" t="s">
        <v>14</v>
      </c>
      <c r="H69" s="19"/>
      <c r="I69" s="19"/>
      <c r="J69" s="20"/>
      <c r="K69" s="19"/>
      <c r="L69" s="19"/>
      <c r="M69" s="19"/>
      <c r="N69" s="17"/>
      <c r="O69" s="72" t="s">
        <v>23</v>
      </c>
      <c r="P69" s="70" t="s">
        <v>24</v>
      </c>
    </row>
    <row r="70" spans="1:16" x14ac:dyDescent="0.3">
      <c r="B70" s="26" t="s">
        <v>68</v>
      </c>
      <c r="C70" s="27">
        <v>0</v>
      </c>
      <c r="D70" s="1" t="s">
        <v>14</v>
      </c>
      <c r="F70" s="54"/>
      <c r="H70" s="19"/>
      <c r="I70" s="19"/>
      <c r="J70" s="20"/>
      <c r="K70" s="19"/>
      <c r="L70" s="19"/>
      <c r="M70" s="19"/>
      <c r="N70" s="17"/>
      <c r="O70" s="72" t="s">
        <v>23</v>
      </c>
      <c r="P70" s="70" t="s">
        <v>24</v>
      </c>
    </row>
    <row r="71" spans="1:16" x14ac:dyDescent="0.3">
      <c r="B71" s="26" t="s">
        <v>69</v>
      </c>
      <c r="C71" s="27">
        <v>0</v>
      </c>
      <c r="D71" s="1" t="s">
        <v>14</v>
      </c>
      <c r="F71" s="54"/>
      <c r="H71" s="19"/>
      <c r="I71" s="19"/>
      <c r="J71" s="20"/>
      <c r="K71" s="19"/>
      <c r="L71" s="19"/>
      <c r="M71" s="19"/>
      <c r="N71" s="17"/>
      <c r="O71" s="72" t="s">
        <v>23</v>
      </c>
      <c r="P71" s="70" t="s">
        <v>24</v>
      </c>
    </row>
    <row r="72" spans="1:16" x14ac:dyDescent="0.3">
      <c r="B72" s="26" t="s">
        <v>70</v>
      </c>
      <c r="C72" s="27">
        <v>0</v>
      </c>
      <c r="D72" s="1" t="s">
        <v>14</v>
      </c>
      <c r="F72" s="54"/>
      <c r="H72" s="19"/>
      <c r="I72" s="19"/>
      <c r="J72" s="20"/>
      <c r="K72" s="19"/>
      <c r="L72" s="19"/>
      <c r="M72" s="19"/>
      <c r="N72" s="17"/>
      <c r="O72" s="72" t="s">
        <v>23</v>
      </c>
      <c r="P72" s="70" t="s">
        <v>24</v>
      </c>
    </row>
    <row r="73" spans="1:16" x14ac:dyDescent="0.3">
      <c r="B73" s="26" t="s">
        <v>71</v>
      </c>
      <c r="C73" s="27">
        <v>0</v>
      </c>
      <c r="D73" s="1" t="s">
        <v>14</v>
      </c>
      <c r="F73" s="54"/>
      <c r="H73" s="19"/>
      <c r="I73" s="19"/>
      <c r="J73" s="20"/>
      <c r="K73" s="19"/>
      <c r="L73" s="19"/>
      <c r="M73" s="19"/>
      <c r="N73" s="17"/>
      <c r="O73" s="72" t="s">
        <v>23</v>
      </c>
      <c r="P73" s="70" t="s">
        <v>24</v>
      </c>
    </row>
    <row r="74" spans="1:16" ht="33" x14ac:dyDescent="0.3">
      <c r="B74" s="26" t="s">
        <v>72</v>
      </c>
      <c r="C74" s="27">
        <v>0</v>
      </c>
      <c r="D74" s="1" t="s">
        <v>14</v>
      </c>
      <c r="F74" s="54"/>
      <c r="H74" s="19"/>
      <c r="I74" s="19"/>
      <c r="J74" s="20"/>
      <c r="K74" s="19"/>
      <c r="L74" s="19"/>
      <c r="M74" s="19"/>
      <c r="N74" s="17"/>
      <c r="O74" s="72" t="s">
        <v>23</v>
      </c>
      <c r="P74" s="70" t="s">
        <v>24</v>
      </c>
    </row>
    <row r="75" spans="1:16" x14ac:dyDescent="0.3">
      <c r="B75" s="81">
        <f>SUM(C67:C74)</f>
        <v>0</v>
      </c>
      <c r="F75" s="54" t="str">
        <f>+"&gt;"&amp;I75&amp;" bis "&amp;J75&amp;H75&amp;" = "&amp;I76&amp;" Pkt.; &gt;"&amp;J75&amp;" bis "&amp;K75&amp;H75&amp;" = "&amp;J76&amp;" Pkt."</f>
        <v>&gt;1 bis 2% = 1 Pkt.; &gt;2 bis 4% = 2 Pkt.</v>
      </c>
      <c r="H75" s="19" t="s">
        <v>59</v>
      </c>
      <c r="I75" s="19">
        <v>1</v>
      </c>
      <c r="J75" s="20">
        <v>2</v>
      </c>
      <c r="K75" s="19">
        <v>4</v>
      </c>
      <c r="L75" s="19">
        <v>8</v>
      </c>
      <c r="M75" s="19"/>
      <c r="N75" s="51"/>
      <c r="O75" s="72" t="s">
        <v>73</v>
      </c>
      <c r="P75" s="70" t="s">
        <v>24</v>
      </c>
    </row>
    <row r="76" spans="1:16" x14ac:dyDescent="0.3">
      <c r="B76" s="29" t="e">
        <f>+B75/Rebfläche*100</f>
        <v>#DIV/0!</v>
      </c>
      <c r="E76" s="42" t="e">
        <f>+IF(B76&gt;L75,L76,IF(B76&gt;K75,K76,IF(B76&gt;J75,J76,IF(B76&gt;I75,I76,0))))</f>
        <v>#DIV/0!</v>
      </c>
      <c r="F76" s="2" t="str">
        <f>+"&gt;"&amp;K75&amp;" bis "&amp;L75&amp;H75&amp;" = "&amp;K76&amp;" Pkt.; &gt;"&amp;L75&amp;H75&amp;" = "&amp;L76&amp;" Pkt."</f>
        <v>&gt;4 bis 8% = 4 Pkt.; &gt;8% = 6 Pkt.</v>
      </c>
      <c r="G76" s="54" t="str">
        <f>+"&gt;"&amp;J75&amp;H75</f>
        <v>&gt;2%</v>
      </c>
      <c r="H76" s="6" t="s">
        <v>60</v>
      </c>
      <c r="I76" s="13">
        <v>1</v>
      </c>
      <c r="J76" s="37">
        <v>2</v>
      </c>
      <c r="K76" s="13">
        <v>4</v>
      </c>
      <c r="L76" s="13">
        <v>6</v>
      </c>
      <c r="M76" s="13"/>
      <c r="N76" s="17">
        <f>+J76</f>
        <v>2</v>
      </c>
    </row>
    <row r="77" spans="1:16" ht="4.5" customHeight="1" x14ac:dyDescent="0.25">
      <c r="B77" s="29"/>
      <c r="E77" s="42"/>
      <c r="N77" s="17"/>
    </row>
    <row r="78" spans="1:16" ht="33" x14ac:dyDescent="0.3">
      <c r="A78" s="1" t="s">
        <v>74</v>
      </c>
      <c r="B78" s="26" t="s">
        <v>75</v>
      </c>
      <c r="C78" s="27">
        <v>0</v>
      </c>
      <c r="D78" s="1" t="s">
        <v>14</v>
      </c>
      <c r="F78" s="54" t="str">
        <f>+"&gt;"&amp;I78&amp;" bis "&amp;J78&amp;H78&amp;" = "&amp;I79&amp;" Pkt.; &gt;"&amp;J78&amp;" bis "&amp;K78&amp;H78&amp;" = "&amp;J79&amp;" Pkt."</f>
        <v>&gt;0,5 bis 1,5% = 0,5 Pkt.; &gt;1,5 bis 2,5% = 1 Pkt.</v>
      </c>
      <c r="G78" s="52"/>
      <c r="H78" s="19" t="s">
        <v>59</v>
      </c>
      <c r="I78" s="20">
        <v>0.5</v>
      </c>
      <c r="J78" s="19">
        <v>1.5</v>
      </c>
      <c r="K78" s="19">
        <v>2.5</v>
      </c>
      <c r="L78" s="19">
        <v>4</v>
      </c>
      <c r="M78" s="19"/>
      <c r="N78" s="23"/>
      <c r="O78" s="72" t="s">
        <v>23</v>
      </c>
      <c r="P78" s="70" t="s">
        <v>24</v>
      </c>
    </row>
    <row r="79" spans="1:16" x14ac:dyDescent="0.3">
      <c r="B79" s="29" t="e">
        <f>+C78/Rebfläche*100</f>
        <v>#DIV/0!</v>
      </c>
      <c r="E79" s="42" t="e">
        <f>+IF(B79&gt;L78,L79,IF(B79&gt;K78,K79,IF(B79&gt;J78,J79,IF(B79&gt;I78,I79,0))))</f>
        <v>#DIV/0!</v>
      </c>
      <c r="F79" s="2" t="str">
        <f>+"&gt;"&amp;K78&amp;" bis "&amp;L78&amp;H78&amp;" = "&amp;K79&amp;" Pkt.; &gt;"&amp;L78&amp;H78&amp;" = "&amp;L79&amp;" Pkt."</f>
        <v>&gt;2,5 bis 4% = 2 Pkt.; &gt;4% = 3 Pkt.</v>
      </c>
      <c r="G79" s="2" t="str">
        <f>+"&gt;"&amp;I78&amp;H78</f>
        <v>&gt;0,5%</v>
      </c>
      <c r="H79" s="6" t="s">
        <v>76</v>
      </c>
      <c r="I79" s="37">
        <v>0.5</v>
      </c>
      <c r="J79" s="13">
        <v>1</v>
      </c>
      <c r="K79" s="13">
        <v>2</v>
      </c>
      <c r="L79" s="13">
        <v>3</v>
      </c>
      <c r="M79" s="13"/>
      <c r="N79" s="17">
        <f>+I79</f>
        <v>0.5</v>
      </c>
    </row>
    <row r="80" spans="1:16" ht="4.5" customHeight="1" x14ac:dyDescent="0.25">
      <c r="B80" s="29"/>
      <c r="E80" s="42"/>
      <c r="N80" s="18"/>
    </row>
    <row r="81" spans="1:16" ht="33" x14ac:dyDescent="0.3">
      <c r="A81" s="1" t="s">
        <v>77</v>
      </c>
      <c r="B81" s="26" t="s">
        <v>78</v>
      </c>
      <c r="N81" s="67"/>
    </row>
    <row r="82" spans="1:16" x14ac:dyDescent="0.3">
      <c r="B82" s="26" t="s">
        <v>79</v>
      </c>
      <c r="C82" s="27">
        <v>0</v>
      </c>
      <c r="D82" s="1" t="s">
        <v>14</v>
      </c>
      <c r="F82" s="54"/>
      <c r="G82" s="52"/>
      <c r="H82" s="19"/>
      <c r="I82" s="19"/>
      <c r="J82" s="20"/>
      <c r="K82" s="19"/>
      <c r="L82" s="19"/>
      <c r="M82" s="19"/>
      <c r="N82" s="67"/>
      <c r="O82" s="72" t="s">
        <v>23</v>
      </c>
      <c r="P82" s="70" t="s">
        <v>24</v>
      </c>
    </row>
    <row r="83" spans="1:16" x14ac:dyDescent="0.3">
      <c r="B83" s="26" t="s">
        <v>80</v>
      </c>
      <c r="C83" s="27">
        <v>0</v>
      </c>
      <c r="D83" s="1" t="s">
        <v>14</v>
      </c>
      <c r="F83" s="54"/>
      <c r="G83" s="52"/>
      <c r="H83" s="19"/>
      <c r="I83" s="19"/>
      <c r="J83" s="20"/>
      <c r="K83" s="19"/>
      <c r="L83" s="19"/>
      <c r="M83" s="19"/>
      <c r="N83" s="67"/>
      <c r="O83" s="72" t="s">
        <v>23</v>
      </c>
      <c r="P83" s="70" t="s">
        <v>24</v>
      </c>
    </row>
    <row r="84" spans="1:16" x14ac:dyDescent="0.3">
      <c r="B84" s="26" t="s">
        <v>81</v>
      </c>
      <c r="C84" s="27">
        <v>0</v>
      </c>
      <c r="D84" s="1" t="s">
        <v>14</v>
      </c>
      <c r="F84" s="54"/>
      <c r="G84" s="52"/>
      <c r="H84" s="19"/>
      <c r="I84" s="19"/>
      <c r="J84" s="20"/>
      <c r="K84" s="19"/>
      <c r="L84" s="19"/>
      <c r="M84" s="19"/>
      <c r="N84" s="67"/>
      <c r="O84" s="72" t="s">
        <v>23</v>
      </c>
      <c r="P84" s="70" t="s">
        <v>24</v>
      </c>
    </row>
    <row r="85" spans="1:16" x14ac:dyDescent="0.3">
      <c r="B85" s="81">
        <f>SUM(C82:C84)</f>
        <v>0</v>
      </c>
      <c r="F85" s="54" t="str">
        <f>+"&gt;"&amp;I85&amp;" bis "&amp;J85&amp;H85&amp;" = "&amp;I86&amp;" Pkt.; &gt;"&amp;J85&amp;" bis "&amp;K85&amp;H85&amp;" = "&amp;J86&amp;" Pkt."</f>
        <v>&gt;1 bis 2% = 0,5 Pkt.; &gt;2 bis 4% = 1 Pkt.</v>
      </c>
      <c r="G85" s="52"/>
      <c r="H85" s="19" t="s">
        <v>59</v>
      </c>
      <c r="I85" s="19">
        <v>1</v>
      </c>
      <c r="J85" s="20">
        <v>2</v>
      </c>
      <c r="K85" s="19">
        <v>4</v>
      </c>
      <c r="L85" s="19">
        <v>8</v>
      </c>
      <c r="M85" s="19"/>
      <c r="N85" s="67"/>
      <c r="O85" s="72" t="s">
        <v>73</v>
      </c>
      <c r="P85" s="70" t="s">
        <v>24</v>
      </c>
    </row>
    <row r="86" spans="1:16" x14ac:dyDescent="0.3">
      <c r="B86" s="29" t="e">
        <f>+B85/Rebfläche*100</f>
        <v>#DIV/0!</v>
      </c>
      <c r="E86" s="42" t="e">
        <f>+IF(B86&gt;L85,L86,IF(B86&gt;K85,K86,IF(B86&gt;J85,J86,IF(B86&gt;I85,I86,0))))</f>
        <v>#DIV/0!</v>
      </c>
      <c r="F86" s="2" t="str">
        <f>+"&gt;"&amp;K85&amp;" bis "&amp;L85&amp;H85&amp;" = "&amp;K86&amp;" Pkt.; &gt;"&amp;L85&amp;H85&amp;" = "&amp;L86&amp;" Pkt."</f>
        <v>&gt;4 bis 8% = 2 Pkt.; &gt;8% = 3 Pkt.</v>
      </c>
      <c r="G86" s="2" t="str">
        <f>+"&gt;"&amp;J85&amp;H85</f>
        <v>&gt;2%</v>
      </c>
      <c r="H86" s="6" t="s">
        <v>76</v>
      </c>
      <c r="I86" s="13">
        <v>0.5</v>
      </c>
      <c r="J86" s="37">
        <v>1</v>
      </c>
      <c r="K86" s="13">
        <v>2</v>
      </c>
      <c r="L86" s="13">
        <v>3</v>
      </c>
      <c r="M86" s="13"/>
      <c r="N86" s="17">
        <f>+J86</f>
        <v>1</v>
      </c>
    </row>
    <row r="87" spans="1:16" ht="4.5" customHeight="1" x14ac:dyDescent="0.25">
      <c r="B87" s="29"/>
      <c r="E87" s="42"/>
    </row>
    <row r="88" spans="1:16" ht="33" x14ac:dyDescent="0.3">
      <c r="A88" s="1" t="s">
        <v>82</v>
      </c>
      <c r="B88" s="28" t="s">
        <v>204</v>
      </c>
      <c r="F88" s="54" t="str">
        <f>+I88&amp;" "&amp;H88&amp;" = "&amp;I89&amp;" Pkt.; "&amp;J88&amp;" "&amp;H88&amp;" = "&amp;J89&amp;" Pkt."</f>
        <v>2 Typen = 0,5 Pkt.; 3 Typen = 1 Pkt.</v>
      </c>
      <c r="G88" s="54" t="str">
        <f>+J88&amp;" "&amp;H88</f>
        <v>3 Typen</v>
      </c>
      <c r="H88" s="19" t="str">
        <f>+D89</f>
        <v>Typen</v>
      </c>
      <c r="I88" s="19">
        <v>2</v>
      </c>
      <c r="J88" s="20">
        <v>3</v>
      </c>
      <c r="K88" s="19">
        <v>4</v>
      </c>
      <c r="L88" s="19"/>
      <c r="M88" s="19"/>
      <c r="N88" s="51"/>
    </row>
    <row r="89" spans="1:16" x14ac:dyDescent="0.3">
      <c r="B89" s="1" t="s">
        <v>83</v>
      </c>
      <c r="C89" s="82">
        <f>IF(RebenQII&gt;0,1,0)+IF(HeckenQII+HeckenQI&gt;0,1,0)+IF(C67+C82&gt;0,1,0)+IF(C68+C83&gt;0,1,0)+IF(C69+C84&gt;0,1,0)+IF(C70&gt;0,1,0)+IF(C71&gt;0,1,0)+IF(C72&gt;0,1,0)+IF(C73&gt;0,1,0)+IF(C74&gt;0,1,0)</f>
        <v>0</v>
      </c>
      <c r="D89" s="52" t="s">
        <v>84</v>
      </c>
      <c r="E89" s="53">
        <f>+IF(C89&gt;K88,L89,IF(C89=K88,K89,IF(C89=J88,J89,IF(C89=I88,I89,0))))</f>
        <v>0</v>
      </c>
      <c r="F89" s="2" t="str">
        <f>+K88&amp;" "&amp;H88&amp;" = "&amp;K89&amp;" Pkt.; &gt;"&amp;K88&amp;" "&amp;H88&amp;" = "&amp;L89&amp;" Pkt."</f>
        <v>4 Typen = 2 Pkt.; &gt;4 Typen = 3 Pkt.</v>
      </c>
      <c r="H89" s="6" t="s">
        <v>76</v>
      </c>
      <c r="I89" s="33">
        <v>0.5</v>
      </c>
      <c r="J89" s="38">
        <v>1</v>
      </c>
      <c r="K89" s="33">
        <v>2</v>
      </c>
      <c r="L89" s="33">
        <v>3</v>
      </c>
      <c r="M89" s="33"/>
      <c r="N89" s="17">
        <f>+J89</f>
        <v>1</v>
      </c>
      <c r="O89" s="72" t="s">
        <v>41</v>
      </c>
    </row>
    <row r="90" spans="1:16" ht="4.5" customHeight="1" x14ac:dyDescent="0.25">
      <c r="B90" s="29"/>
      <c r="E90" s="42"/>
      <c r="J90" s="7"/>
      <c r="N90" s="17"/>
    </row>
    <row r="91" spans="1:16" ht="49.5" x14ac:dyDescent="0.3">
      <c r="A91" s="1" t="s">
        <v>85</v>
      </c>
      <c r="B91" s="26" t="s">
        <v>86</v>
      </c>
      <c r="C91" s="24">
        <v>0</v>
      </c>
      <c r="D91" s="1" t="s">
        <v>87</v>
      </c>
      <c r="F91" s="54" t="str">
        <f>+"&gt;"&amp;I91&amp;" bis "&amp;J91&amp;H91&amp;" = "&amp;I92&amp;" Pkt.; &gt;"&amp;J91&amp;" bis "&amp;K91&amp;H91&amp;" = "&amp;J92&amp;" Pkt."</f>
        <v>&gt;0 bis 20 m/ha = 0,5 Pkt.; &gt;20 bis 40 m/ha = 1 Pkt.</v>
      </c>
      <c r="H91" s="19" t="s">
        <v>88</v>
      </c>
      <c r="I91" s="20">
        <v>0</v>
      </c>
      <c r="J91" s="20">
        <v>20</v>
      </c>
      <c r="K91" s="19">
        <v>40</v>
      </c>
      <c r="L91" s="19">
        <v>60</v>
      </c>
      <c r="M91" s="19">
        <v>80</v>
      </c>
      <c r="N91" s="17"/>
    </row>
    <row r="92" spans="1:16" ht="33" x14ac:dyDescent="0.3">
      <c r="B92" s="31" t="e">
        <f>+C91/Rebfläche</f>
        <v>#DIV/0!</v>
      </c>
      <c r="E92" s="42" t="e">
        <f>+IF(B92&gt;L91,L92,IF(B92&gt;K91,K92,IF(B92&gt;J91,J92,IF(B92&gt;I91,I92,0))))</f>
        <v>#DIV/0!</v>
      </c>
      <c r="F92" s="2" t="str">
        <f>+"&gt;"&amp;K91&amp;" à "&amp;L91&amp;H91&amp;" = "&amp;K92&amp;" Pts; &gt;"&amp;L91&amp;" à "&amp;M91&amp;H91&amp;" = "&amp;L92&amp;" Pts; &gt;"&amp;M91&amp;H91&amp;" = "&amp;M92&amp;" Pts"</f>
        <v>&gt;40 à 60 m/ha = 2 Pts; &gt;60 à 80 m/ha = 3 Pts; &gt;80 m/ha = 4 Pts</v>
      </c>
      <c r="G92" s="1" t="str">
        <f>+"&gt;"&amp;I91&amp;" "&amp;H91</f>
        <v>&gt;0  m/ha</v>
      </c>
      <c r="H92" s="6" t="s">
        <v>76</v>
      </c>
      <c r="I92" s="13">
        <v>0.5</v>
      </c>
      <c r="J92" s="37">
        <v>1</v>
      </c>
      <c r="K92" s="13">
        <v>2</v>
      </c>
      <c r="L92" s="13">
        <v>3</v>
      </c>
      <c r="M92" s="13">
        <v>4</v>
      </c>
      <c r="N92" s="17">
        <f>J92</f>
        <v>1</v>
      </c>
    </row>
    <row r="93" spans="1:16" ht="4.5" customHeight="1" x14ac:dyDescent="0.25">
      <c r="B93" s="26"/>
      <c r="F93" s="11"/>
      <c r="N93" s="17"/>
    </row>
    <row r="94" spans="1:16" ht="27" customHeight="1" x14ac:dyDescent="0.3">
      <c r="A94" s="1" t="s">
        <v>89</v>
      </c>
      <c r="B94" s="28" t="s">
        <v>208</v>
      </c>
      <c r="C94" s="27">
        <v>0</v>
      </c>
      <c r="D94" s="14" t="s">
        <v>14</v>
      </c>
      <c r="E94" s="55"/>
      <c r="F94" s="54" t="str">
        <f>+"&gt;"&amp;I94&amp;" bis "&amp;J94&amp;H94&amp;" = "&amp;I95&amp;" Pkt.; &gt;"&amp;J94&amp;" bis "&amp;K94&amp;H94&amp;" = "&amp;J95&amp;" Pkt."</f>
        <v>&gt;1 bis 2% = 1 Pkt.; &gt;2 bis 4% = 2 Pkt.</v>
      </c>
      <c r="G94" s="52"/>
      <c r="H94" s="19" t="s">
        <v>59</v>
      </c>
      <c r="I94" s="20">
        <v>1</v>
      </c>
      <c r="J94" s="19">
        <v>2</v>
      </c>
      <c r="K94" s="19">
        <v>4</v>
      </c>
      <c r="L94" s="19">
        <v>6</v>
      </c>
      <c r="M94" s="19"/>
      <c r="O94" s="72" t="s">
        <v>23</v>
      </c>
      <c r="P94" s="70" t="s">
        <v>24</v>
      </c>
    </row>
    <row r="95" spans="1:16" x14ac:dyDescent="0.3">
      <c r="B95" s="29" t="e">
        <f>+C94/Rebfläche*100</f>
        <v>#DIV/0!</v>
      </c>
      <c r="E95" s="42" t="e">
        <f>+IF(B95&gt;L94,L95,IF(B95&gt;K94,K95,IF(B95&gt;J94,J95,IF(B95&gt;I94,I95,0))))</f>
        <v>#DIV/0!</v>
      </c>
      <c r="F95" s="2" t="str">
        <f>+"&gt;"&amp;K94&amp;" bis "&amp;L94&amp;H94&amp;" = "&amp;K95&amp;" Pkt.; &gt;"&amp;L94&amp;H94&amp;" = "&amp;L95&amp;" Pkt."</f>
        <v>&gt;4 bis 6% = 3 Pkt.; &gt;6% = 4 Pkt.</v>
      </c>
      <c r="G95" s="2" t="str">
        <f>+"&gt;"&amp;I94&amp;H94</f>
        <v>&gt;1%</v>
      </c>
      <c r="H95" s="6" t="s">
        <v>76</v>
      </c>
      <c r="I95" s="37">
        <v>1</v>
      </c>
      <c r="J95" s="13">
        <v>2</v>
      </c>
      <c r="K95" s="13">
        <v>3</v>
      </c>
      <c r="L95" s="13">
        <v>4</v>
      </c>
      <c r="M95" s="13"/>
      <c r="N95" s="17">
        <f>+I95</f>
        <v>1</v>
      </c>
    </row>
    <row r="96" spans="1:16" ht="4.5" customHeight="1" x14ac:dyDescent="0.25">
      <c r="B96" s="29"/>
      <c r="E96" s="42"/>
      <c r="J96" s="7"/>
      <c r="N96" s="17"/>
    </row>
    <row r="97" spans="1:16" ht="33" x14ac:dyDescent="0.3">
      <c r="A97" s="1" t="s">
        <v>90</v>
      </c>
      <c r="B97" s="26" t="s">
        <v>91</v>
      </c>
      <c r="C97" s="24">
        <v>0</v>
      </c>
      <c r="D97" s="1" t="s">
        <v>92</v>
      </c>
      <c r="E97" s="55"/>
      <c r="F97" s="54" t="str">
        <f>+"&gt;"&amp;I97&amp;" bis "&amp;J97&amp;H97&amp;" = "&amp;I98&amp;" Pkt.; &gt;"&amp;J97&amp;" bis "&amp;K97&amp;H97&amp;" = "&amp;J98&amp;" Pkt."</f>
        <v>&gt;1 bis 2 Stk./ha = 0,5 Pkt.; &gt;2 bis 3 Stk./ha = 1 Pkt.</v>
      </c>
      <c r="G97" s="52"/>
      <c r="H97" s="19" t="s">
        <v>93</v>
      </c>
      <c r="I97" s="19">
        <v>1</v>
      </c>
      <c r="J97" s="20">
        <v>2</v>
      </c>
      <c r="K97" s="19">
        <v>3</v>
      </c>
      <c r="L97" s="19">
        <v>4</v>
      </c>
      <c r="M97" s="19"/>
      <c r="N97" s="51"/>
    </row>
    <row r="98" spans="1:16" x14ac:dyDescent="0.3">
      <c r="B98" s="30" t="e">
        <f>+C97/Rebfläche</f>
        <v>#DIV/0!</v>
      </c>
      <c r="E98" s="42" t="e">
        <f>+IF(B98&gt;L97,L98,IF(B98&gt;K97,K98,IF(B98&gt;J97,J98,IF(B98&gt;I97,I98,0))))</f>
        <v>#DIV/0!</v>
      </c>
      <c r="F98" s="2" t="str">
        <f>+"&gt;"&amp;K97&amp;" bis "&amp;L97&amp;H97&amp;" = "&amp;K98&amp;" Pkt.; &gt;"&amp;L97&amp;H97&amp;" = "&amp;L98&amp;" Pkt."</f>
        <v>&gt;3 bis 4 Stk./ha = 1,5 Pkt.; &gt;4 Stk./ha = 2 Pkt.</v>
      </c>
      <c r="G98" s="2" t="str">
        <f>+"&gt;"&amp;J97&amp;" "&amp;H97</f>
        <v>&gt;2  Stk./ha</v>
      </c>
      <c r="H98" s="6" t="s">
        <v>76</v>
      </c>
      <c r="I98" s="13">
        <v>0.5</v>
      </c>
      <c r="J98" s="37">
        <v>1</v>
      </c>
      <c r="K98" s="13">
        <v>1.5</v>
      </c>
      <c r="L98" s="13">
        <v>2</v>
      </c>
      <c r="M98" s="13"/>
      <c r="N98" s="17">
        <f>+J98</f>
        <v>1</v>
      </c>
    </row>
    <row r="99" spans="1:16" ht="4.5" customHeight="1" x14ac:dyDescent="0.25">
      <c r="B99" s="26"/>
      <c r="F99" s="11"/>
    </row>
    <row r="100" spans="1:16" ht="33" x14ac:dyDescent="0.3">
      <c r="A100" s="1" t="s">
        <v>94</v>
      </c>
      <c r="B100" s="28" t="s">
        <v>95</v>
      </c>
      <c r="C100" s="27">
        <v>0</v>
      </c>
      <c r="D100" s="1" t="s">
        <v>14</v>
      </c>
      <c r="F100" s="54" t="str">
        <f>+"&gt;"&amp;I100&amp;" bis "&amp;J100&amp;H100&amp;" = "&amp;I101&amp;" Pkt.; &gt;"&amp;J100&amp;" bis "&amp;K100&amp;H100&amp;" = "&amp;J101&amp;" Pkt."</f>
        <v>&gt;20 bis 40% = 1 Pkt.; &gt;40 bis 60% = 2 Pkt.</v>
      </c>
      <c r="G100" s="52"/>
      <c r="H100" s="19" t="s">
        <v>59</v>
      </c>
      <c r="I100" s="20">
        <v>20</v>
      </c>
      <c r="J100" s="19">
        <v>40</v>
      </c>
      <c r="K100" s="19">
        <v>60</v>
      </c>
      <c r="L100" s="19">
        <v>80</v>
      </c>
      <c r="M100" s="19"/>
      <c r="N100" s="17"/>
      <c r="O100" s="72" t="s">
        <v>23</v>
      </c>
      <c r="P100" s="70" t="s">
        <v>24</v>
      </c>
    </row>
    <row r="101" spans="1:16" x14ac:dyDescent="0.3">
      <c r="B101" s="29" t="e">
        <f>+C100/Rebfläche*100</f>
        <v>#DIV/0!</v>
      </c>
      <c r="E101" s="42" t="e">
        <f>+IF(B101&gt;L100,L101,IF(B101&gt;K100,K101,IF(B101&gt;J100,J101,IF(B101&gt;I100,I101,0))))</f>
        <v>#DIV/0!</v>
      </c>
      <c r="F101" s="2" t="str">
        <f>+"&gt;"&amp;K100&amp;" bis "&amp;L100&amp;H100&amp;" = "&amp;K101&amp;" Pkt.; &gt;"&amp;L100&amp;H100&amp;" = "&amp;L101&amp;" Pkt."</f>
        <v>&gt;60 bis 80% = 3 Pkt.; &gt;80% = 4 Pkt.</v>
      </c>
      <c r="G101" s="2" t="str">
        <f>"&gt;"&amp;I100 &amp; H100</f>
        <v>&gt;20%</v>
      </c>
      <c r="H101" s="6" t="s">
        <v>76</v>
      </c>
      <c r="I101" s="37">
        <v>1</v>
      </c>
      <c r="J101" s="13">
        <v>2</v>
      </c>
      <c r="K101" s="13">
        <v>3</v>
      </c>
      <c r="L101" s="13">
        <v>4</v>
      </c>
      <c r="M101" s="13"/>
      <c r="N101" s="17">
        <f>+I101</f>
        <v>1</v>
      </c>
    </row>
    <row r="102" spans="1:16" ht="4.5" customHeight="1" x14ac:dyDescent="0.25">
      <c r="B102" s="26"/>
      <c r="F102" s="11"/>
      <c r="N102" s="17"/>
    </row>
    <row r="103" spans="1:16" x14ac:dyDescent="0.3">
      <c r="A103" s="1" t="s">
        <v>96</v>
      </c>
      <c r="B103" s="26" t="s">
        <v>97</v>
      </c>
      <c r="C103" s="27">
        <v>0</v>
      </c>
      <c r="D103" s="1" t="s">
        <v>14</v>
      </c>
      <c r="F103" s="1"/>
      <c r="G103" s="1"/>
      <c r="H103" s="6" t="s">
        <v>59</v>
      </c>
      <c r="I103" s="20">
        <v>60</v>
      </c>
      <c r="N103" s="17"/>
      <c r="O103" s="72" t="s">
        <v>23</v>
      </c>
      <c r="P103" s="70" t="s">
        <v>24</v>
      </c>
    </row>
    <row r="104" spans="1:16" x14ac:dyDescent="0.3">
      <c r="B104" s="29" t="e">
        <f>+C103/Rebfläche*100</f>
        <v>#DIV/0!</v>
      </c>
      <c r="E104" s="42" t="e">
        <f>+IF(B104&gt;I103,I104,0)</f>
        <v>#DIV/0!</v>
      </c>
      <c r="F104" s="2" t="str">
        <f>+"&gt;"&amp;I103&amp;H103&amp;" = "&amp;I104&amp;" Pts"</f>
        <v>&gt;60% = 0,5 Pts</v>
      </c>
      <c r="G104" s="2" t="str">
        <f>"&gt;"&amp;I103 &amp; H103</f>
        <v>&gt;60%</v>
      </c>
      <c r="H104" s="6" t="s">
        <v>76</v>
      </c>
      <c r="I104" s="49">
        <v>0.5</v>
      </c>
      <c r="J104" s="13"/>
      <c r="K104" s="13"/>
      <c r="L104" s="13"/>
      <c r="M104" s="13"/>
      <c r="N104" s="17">
        <f>+I104</f>
        <v>0.5</v>
      </c>
      <c r="O104" s="74"/>
    </row>
    <row r="105" spans="1:16" x14ac:dyDescent="0.25">
      <c r="B105" s="26"/>
      <c r="F105" s="11"/>
      <c r="N105" s="17"/>
    </row>
    <row r="106" spans="1:16" ht="18" x14ac:dyDescent="0.25">
      <c r="A106" s="45" t="s">
        <v>98</v>
      </c>
      <c r="B106" s="5"/>
      <c r="E106" s="42"/>
      <c r="N106" s="17"/>
    </row>
    <row r="107" spans="1:16" ht="4.5" customHeight="1" x14ac:dyDescent="0.25">
      <c r="B107" s="5"/>
      <c r="E107" s="42"/>
      <c r="N107" s="17"/>
    </row>
    <row r="108" spans="1:16" x14ac:dyDescent="0.25">
      <c r="A108" s="1" t="s">
        <v>99</v>
      </c>
      <c r="B108" s="26" t="s">
        <v>100</v>
      </c>
      <c r="C108" s="27">
        <v>0</v>
      </c>
      <c r="D108" s="1" t="s">
        <v>14</v>
      </c>
      <c r="E108" s="42"/>
      <c r="F108" s="2" t="str">
        <f>+"&gt;"&amp;I108&amp;" bis "&amp;J108&amp;H108&amp;" = "&amp;I109&amp;" Pkt.; &gt;"&amp;J108&amp;" bis "&amp;K108&amp;H108&amp;" = "&amp;J109&amp;" Pkt."</f>
        <v>&gt;20 bis 40% = 1 Pkt.; &gt;40 bis 60% = 1,5 Pkt.</v>
      </c>
      <c r="H108" s="6" t="s">
        <v>59</v>
      </c>
      <c r="I108" s="6">
        <v>20</v>
      </c>
      <c r="J108" s="7">
        <v>40</v>
      </c>
      <c r="K108" s="6">
        <v>60</v>
      </c>
      <c r="L108" s="6">
        <v>80</v>
      </c>
      <c r="N108" s="17"/>
      <c r="O108" s="72" t="s">
        <v>23</v>
      </c>
      <c r="P108" s="70" t="s">
        <v>24</v>
      </c>
    </row>
    <row r="109" spans="1:16" x14ac:dyDescent="0.3">
      <c r="B109" s="29" t="e">
        <f>+C108/Rebfläche*100</f>
        <v>#DIV/0!</v>
      </c>
      <c r="E109" s="42" t="e">
        <f>+IF(B109&gt;L108,L109,IF(B109&gt;K108,K109,IF(B109&gt;J108,J109,IF(B109&gt;I108,I109,0))))</f>
        <v>#DIV/0!</v>
      </c>
      <c r="F109" s="2" t="str">
        <f>+"&gt;"&amp;K108&amp;" bis "&amp;L108&amp;H108&amp;" = "&amp;K109&amp;" Pkt.; &gt;"&amp;L108&amp;H108&amp;" = "&amp;L109&amp;" Pkt."</f>
        <v>&gt;60 bis 80% = 2 Pkt.; &gt;80% = 2,5 Pkt.</v>
      </c>
      <c r="G109" s="2" t="str">
        <f>"&gt;"&amp;J108 &amp; H108</f>
        <v>&gt;40%</v>
      </c>
      <c r="H109" s="6" t="s">
        <v>76</v>
      </c>
      <c r="I109" s="13">
        <v>1</v>
      </c>
      <c r="J109" s="37">
        <v>1.5</v>
      </c>
      <c r="K109" s="13">
        <v>2</v>
      </c>
      <c r="L109" s="13">
        <v>2.5</v>
      </c>
      <c r="M109" s="13"/>
      <c r="N109" s="17">
        <f>+J109</f>
        <v>1.5</v>
      </c>
    </row>
    <row r="110" spans="1:16" ht="3.95" customHeight="1" x14ac:dyDescent="0.25">
      <c r="A110" s="14"/>
      <c r="B110" s="34"/>
      <c r="E110" s="42"/>
      <c r="N110" s="17"/>
    </row>
    <row r="111" spans="1:16" x14ac:dyDescent="0.3">
      <c r="A111" s="14" t="s">
        <v>101</v>
      </c>
      <c r="B111" s="34" t="s">
        <v>102</v>
      </c>
      <c r="C111" s="27">
        <v>0</v>
      </c>
      <c r="D111" s="1" t="s">
        <v>14</v>
      </c>
      <c r="E111" s="42"/>
      <c r="H111" s="6" t="s">
        <v>59</v>
      </c>
      <c r="I111" s="13">
        <v>100</v>
      </c>
      <c r="J111" s="37"/>
      <c r="K111" s="13"/>
      <c r="L111" s="13"/>
      <c r="M111" s="13"/>
      <c r="N111" s="17"/>
      <c r="O111" s="72" t="s">
        <v>23</v>
      </c>
      <c r="P111" s="1" t="s">
        <v>24</v>
      </c>
    </row>
    <row r="112" spans="1:16" x14ac:dyDescent="0.3">
      <c r="A112" s="14"/>
      <c r="B112" s="29" t="e">
        <f>+C111/Rebfläche*100</f>
        <v>#DIV/0!</v>
      </c>
      <c r="E112" s="42" t="e">
        <f>+IF(B112=I111,I112,0)</f>
        <v>#DIV/0!</v>
      </c>
      <c r="F112" s="2" t="str">
        <f>+""&amp;I111&amp;H111&amp;" = "&amp;I112&amp;" Pkt."</f>
        <v>100% = 1 Pkt.</v>
      </c>
      <c r="H112" s="6" t="s">
        <v>76</v>
      </c>
      <c r="I112" s="13">
        <v>1</v>
      </c>
      <c r="J112" s="37"/>
      <c r="K112" s="13"/>
      <c r="L112" s="13"/>
      <c r="M112" s="13"/>
      <c r="N112" s="17">
        <v>0</v>
      </c>
    </row>
    <row r="113" spans="1:16" ht="4.5" customHeight="1" x14ac:dyDescent="0.25">
      <c r="B113" s="26"/>
      <c r="N113" s="18"/>
    </row>
    <row r="114" spans="1:16" ht="49.5" x14ac:dyDescent="0.3">
      <c r="A114" s="1" t="s">
        <v>103</v>
      </c>
      <c r="B114" s="28" t="s">
        <v>104</v>
      </c>
      <c r="C114" s="27">
        <v>0</v>
      </c>
      <c r="D114" s="1" t="s">
        <v>14</v>
      </c>
      <c r="E114" s="42"/>
      <c r="F114" s="54" t="str">
        <f>+"&gt;"&amp;I114&amp;" bis "&amp;J114&amp;H114&amp;" = "&amp;I115&amp;" Pkt.; &gt;"&amp;J114&amp;" bis "&amp;K114&amp;H114&amp;" = "&amp;J115&amp;" Pkt."</f>
        <v>&gt;20 bis 40% = 1 Pkt.; &gt;40 bis 60% = 1,5 Pkt.</v>
      </c>
      <c r="G114" s="54"/>
      <c r="H114" s="19" t="s">
        <v>59</v>
      </c>
      <c r="I114" s="19">
        <v>20</v>
      </c>
      <c r="J114" s="20">
        <v>40</v>
      </c>
      <c r="K114" s="19">
        <v>60</v>
      </c>
      <c r="L114" s="19">
        <v>80</v>
      </c>
      <c r="M114" s="19"/>
      <c r="N114" s="51"/>
      <c r="O114" s="72" t="s">
        <v>23</v>
      </c>
      <c r="P114" s="70" t="s">
        <v>24</v>
      </c>
    </row>
    <row r="115" spans="1:16" x14ac:dyDescent="0.3">
      <c r="B115" s="29" t="e">
        <f>+C114/Rebfläche*100</f>
        <v>#DIV/0!</v>
      </c>
      <c r="E115" s="42" t="e">
        <f>+IF(B115&gt;L114,L115,IF(B115&gt;K114,K115,IF(B115&gt;J114,J115,IF(B115&gt;I114,I115,0))))</f>
        <v>#DIV/0!</v>
      </c>
      <c r="F115" s="2" t="str">
        <f>+"&gt;"&amp;K114&amp;" bis "&amp;L114&amp;H114&amp;" = "&amp;K115&amp;" Pkt.; &gt;"&amp;L114&amp;H114&amp;" = "&amp;L115&amp;" Pkt."</f>
        <v>&gt;60 bis 80% = 2 Pkt.; &gt;80% = 2,5 Pkt.</v>
      </c>
      <c r="G115" s="2" t="str">
        <f>"&gt;" &amp;J114&amp; H114</f>
        <v>&gt;40%</v>
      </c>
      <c r="H115" s="6" t="s">
        <v>76</v>
      </c>
      <c r="I115" s="13">
        <v>1</v>
      </c>
      <c r="J115" s="37">
        <v>1.5</v>
      </c>
      <c r="K115" s="13">
        <v>2</v>
      </c>
      <c r="L115" s="13">
        <v>2.5</v>
      </c>
      <c r="M115" s="13"/>
      <c r="N115" s="17">
        <f>+J115</f>
        <v>1.5</v>
      </c>
    </row>
    <row r="116" spans="1:16" ht="4.5" customHeight="1" x14ac:dyDescent="0.25">
      <c r="B116" s="26"/>
      <c r="F116" s="11"/>
      <c r="N116" s="18"/>
    </row>
    <row r="117" spans="1:16" ht="33" x14ac:dyDescent="0.3">
      <c r="A117" s="1" t="s">
        <v>105</v>
      </c>
      <c r="B117" s="28" t="s">
        <v>106</v>
      </c>
      <c r="C117" s="27">
        <v>0</v>
      </c>
      <c r="D117" s="1" t="s">
        <v>14</v>
      </c>
      <c r="E117" s="42"/>
      <c r="F117" s="54" t="str">
        <f>+"&gt;"&amp;I117&amp;" bis "&amp;J117&amp;H117&amp;" = "&amp;I118&amp;" Pkt.; &gt;"&amp;J117&amp;" bis "&amp;K117&amp;H117&amp;" = "&amp;J118&amp;" Pkt."</f>
        <v>&gt;20 bis 40% = 1,5 Pkt.; &gt;40 bis 60% = 2 Pkt.</v>
      </c>
      <c r="G117" s="54"/>
      <c r="H117" s="19" t="s">
        <v>59</v>
      </c>
      <c r="I117" s="19">
        <v>20</v>
      </c>
      <c r="J117" s="19">
        <v>40</v>
      </c>
      <c r="K117" s="19">
        <v>60</v>
      </c>
      <c r="L117" s="19">
        <v>80</v>
      </c>
      <c r="M117" s="19"/>
      <c r="N117" s="51"/>
      <c r="O117" s="72" t="s">
        <v>23</v>
      </c>
      <c r="P117" s="70" t="s">
        <v>24</v>
      </c>
    </row>
    <row r="118" spans="1:16" x14ac:dyDescent="0.3">
      <c r="B118" s="29" t="e">
        <f>+C117/Rebfläche*100</f>
        <v>#DIV/0!</v>
      </c>
      <c r="E118" s="42" t="e">
        <f>+IF(B118&gt;L117,L118,IF(B118&gt;K117,K118,IF(B118&gt;J117,J118,IF(B118&gt;I117,I118,0))))</f>
        <v>#DIV/0!</v>
      </c>
      <c r="F118" s="2" t="str">
        <f>+"&gt;"&amp;K117&amp;" bis "&amp;L117&amp;H117&amp;" = "&amp;K118&amp;" Pkt.; &gt;"&amp;L117&amp;H117&amp;" = "&amp;L118&amp;" Pkt."</f>
        <v>&gt;60 bis 80% = 2,5 Pkt.; &gt;80% = 3 Pkt.</v>
      </c>
      <c r="H118" s="6" t="s">
        <v>76</v>
      </c>
      <c r="I118" s="13">
        <v>1.5</v>
      </c>
      <c r="J118" s="13">
        <v>2</v>
      </c>
      <c r="K118" s="13">
        <v>2.5</v>
      </c>
      <c r="L118" s="13">
        <v>3</v>
      </c>
      <c r="M118" s="13"/>
      <c r="N118" s="17">
        <v>0</v>
      </c>
    </row>
    <row r="119" spans="1:16" ht="4.5" customHeight="1" x14ac:dyDescent="0.25">
      <c r="B119" s="26"/>
      <c r="F119" s="11"/>
      <c r="N119" s="17"/>
    </row>
    <row r="120" spans="1:16" x14ac:dyDescent="0.25">
      <c r="B120" s="29" t="s">
        <v>107</v>
      </c>
      <c r="E120" s="42" t="e">
        <f>+MAX(E115,E118)</f>
        <v>#DIV/0!</v>
      </c>
      <c r="N120" s="17"/>
    </row>
    <row r="121" spans="1:16" ht="4.5" customHeight="1" x14ac:dyDescent="0.25">
      <c r="B121" s="26"/>
      <c r="F121" s="11"/>
      <c r="N121" s="17"/>
    </row>
    <row r="122" spans="1:16" x14ac:dyDescent="0.25">
      <c r="A122" s="1" t="s">
        <v>108</v>
      </c>
      <c r="B122" s="29" t="s">
        <v>109</v>
      </c>
      <c r="C122" s="27">
        <v>0</v>
      </c>
      <c r="D122" s="1" t="s">
        <v>14</v>
      </c>
      <c r="E122" s="42"/>
      <c r="F122" s="2" t="str">
        <f>+"&gt;"&amp;I122&amp;" bis "&amp;J122&amp;H122&amp;" = "&amp;I123&amp;" Pkt.; &gt;"&amp;J122&amp;" bis "&amp;K122&amp;H122&amp;" = "&amp;J123&amp;" Pkt."</f>
        <v>&gt;2 bis 5% = 0,5 Pkt.; &gt;5 bis 10% = 1 Pkt.</v>
      </c>
      <c r="G122" s="2" t="str">
        <f>"&gt;"&amp;I122 &amp; H122</f>
        <v>&gt;2%</v>
      </c>
      <c r="H122" s="6" t="s">
        <v>59</v>
      </c>
      <c r="I122" s="7">
        <v>2</v>
      </c>
      <c r="J122" s="6">
        <v>5</v>
      </c>
      <c r="K122" s="6">
        <v>10</v>
      </c>
      <c r="O122" s="72" t="s">
        <v>23</v>
      </c>
      <c r="P122" s="70" t="s">
        <v>24</v>
      </c>
    </row>
    <row r="123" spans="1:16" x14ac:dyDescent="0.3">
      <c r="B123" s="29" t="e">
        <f>+C122/Rebfläche*100</f>
        <v>#DIV/0!</v>
      </c>
      <c r="E123" s="42" t="e">
        <f>+IF(B123&gt;K122,K123,IF(B123&gt;J122,J123,IF(B123&gt;I122,I123,0)))</f>
        <v>#DIV/0!</v>
      </c>
      <c r="F123" s="2" t="str">
        <f>+"&gt;"&amp;K122&amp;H122&amp;" = "&amp;K123&amp;" Pkt."</f>
        <v>&gt;10% = 2 Pkt.</v>
      </c>
      <c r="H123" s="6" t="s">
        <v>76</v>
      </c>
      <c r="I123" s="37">
        <v>0.5</v>
      </c>
      <c r="J123" s="13">
        <v>1</v>
      </c>
      <c r="K123" s="13">
        <v>2</v>
      </c>
      <c r="N123" s="17">
        <f>+I123</f>
        <v>0.5</v>
      </c>
      <c r="O123" s="75"/>
    </row>
    <row r="124" spans="1:16" x14ac:dyDescent="0.25">
      <c r="B124" s="29"/>
      <c r="E124" s="42"/>
      <c r="N124" s="17"/>
      <c r="O124" s="75"/>
    </row>
    <row r="125" spans="1:16" x14ac:dyDescent="0.25">
      <c r="A125" s="14" t="s">
        <v>110</v>
      </c>
      <c r="B125" s="34" t="s">
        <v>111</v>
      </c>
      <c r="C125" s="27">
        <v>0</v>
      </c>
      <c r="D125" s="1" t="s">
        <v>14</v>
      </c>
      <c r="E125" s="42"/>
      <c r="H125" s="6" t="s">
        <v>59</v>
      </c>
      <c r="I125" s="7">
        <v>66.7</v>
      </c>
      <c r="N125" s="17"/>
      <c r="O125" s="72" t="s">
        <v>23</v>
      </c>
      <c r="P125" s="1" t="s">
        <v>24</v>
      </c>
    </row>
    <row r="126" spans="1:16" x14ac:dyDescent="0.3">
      <c r="A126" s="14"/>
      <c r="B126" s="29" t="e">
        <f>+C125/Rebfläche*100</f>
        <v>#DIV/0!</v>
      </c>
      <c r="E126" s="42" t="e">
        <f>+IF(B126&gt;=I125,I126,0)</f>
        <v>#DIV/0!</v>
      </c>
      <c r="F126" s="2" t="str">
        <f>+""&amp;I125&amp;H125&amp;" = "&amp;I126&amp;" Pkt."</f>
        <v>66,7% = 1 Pkt.</v>
      </c>
      <c r="H126" s="6" t="s">
        <v>76</v>
      </c>
      <c r="I126" s="37">
        <v>1</v>
      </c>
      <c r="N126" s="17">
        <v>1</v>
      </c>
    </row>
    <row r="127" spans="1:16" x14ac:dyDescent="0.25">
      <c r="B127" s="26"/>
      <c r="F127" s="11"/>
      <c r="N127" s="17"/>
    </row>
    <row r="128" spans="1:16" ht="18" x14ac:dyDescent="0.25">
      <c r="A128" s="3" t="s">
        <v>112</v>
      </c>
      <c r="N128" s="17"/>
    </row>
    <row r="129" spans="1:15" ht="4.5" customHeight="1" x14ac:dyDescent="0.25">
      <c r="A129" s="3"/>
      <c r="N129" s="17"/>
    </row>
    <row r="130" spans="1:15" ht="33" x14ac:dyDescent="0.3">
      <c r="A130" s="1" t="s">
        <v>113</v>
      </c>
      <c r="B130" s="4" t="s">
        <v>114</v>
      </c>
      <c r="C130" s="24" t="s">
        <v>17</v>
      </c>
      <c r="E130" s="42">
        <f>+IF(C130="ja",I130,0)</f>
        <v>0</v>
      </c>
      <c r="F130" s="1" t="s">
        <v>115</v>
      </c>
      <c r="H130" s="6" t="s">
        <v>76</v>
      </c>
      <c r="I130" s="21">
        <v>0.5</v>
      </c>
      <c r="J130" s="19"/>
      <c r="K130" s="19"/>
      <c r="L130" s="19"/>
      <c r="M130" s="19"/>
      <c r="N130" s="17"/>
    </row>
    <row r="131" spans="1:15" ht="4.5" customHeight="1" x14ac:dyDescent="0.25">
      <c r="B131" s="32"/>
    </row>
    <row r="132" spans="1:15" x14ac:dyDescent="0.25">
      <c r="A132" s="1" t="s">
        <v>116</v>
      </c>
      <c r="B132" s="26" t="s">
        <v>117</v>
      </c>
      <c r="C132" s="24">
        <v>0</v>
      </c>
      <c r="D132" s="1" t="s">
        <v>118</v>
      </c>
      <c r="O132" s="72" t="s">
        <v>119</v>
      </c>
    </row>
    <row r="133" spans="1:15" x14ac:dyDescent="0.25">
      <c r="B133" s="26" t="s">
        <v>120</v>
      </c>
    </row>
    <row r="134" spans="1:15" ht="4.5" customHeight="1" x14ac:dyDescent="0.25">
      <c r="A134" s="3"/>
      <c r="N134" s="17"/>
    </row>
    <row r="135" spans="1:15" ht="33" x14ac:dyDescent="0.25">
      <c r="A135" s="14" t="s">
        <v>121</v>
      </c>
      <c r="B135" s="26" t="s">
        <v>122</v>
      </c>
      <c r="C135" s="24" t="s">
        <v>17</v>
      </c>
      <c r="E135" s="42">
        <f>+IF(C135="oui",I135,0)</f>
        <v>0</v>
      </c>
      <c r="F135" s="2" t="str">
        <f>+"ja"&amp;" = "&amp;I135&amp;" Pkt."</f>
        <v>ja = 1 Pkt.</v>
      </c>
      <c r="H135" s="6" t="s">
        <v>76</v>
      </c>
      <c r="I135" s="21">
        <v>1</v>
      </c>
      <c r="N135" s="17">
        <v>0</v>
      </c>
    </row>
    <row r="136" spans="1:15" ht="4.5" customHeight="1" x14ac:dyDescent="0.25">
      <c r="B136" s="26"/>
      <c r="F136" s="11"/>
    </row>
    <row r="137" spans="1:15" s="61" customFormat="1" ht="18" x14ac:dyDescent="0.3">
      <c r="A137" s="56" t="s">
        <v>123</v>
      </c>
      <c r="B137" s="57"/>
      <c r="C137" s="56"/>
      <c r="D137" s="56"/>
      <c r="E137" s="58" t="e">
        <f>IF(SUM(C25="ja",C29="ja",C33="ja",C37="ja",C39="ja",C41="ja",C43="ja",C45="ja",C47="ja",C49="ja",C53="ja",)=11,"Grundanforderungen sind erfüllt", "Achtung: es sind nicht alle Grundanforderungen erfüllt")&amp;"; "&amp;H137&amp;" Punkte"</f>
        <v>#DIV/0!</v>
      </c>
      <c r="F137" s="57"/>
      <c r="G137" s="56"/>
      <c r="H137" s="19" t="e">
        <f>SUM(E59:E109,E120:E131,C132)</f>
        <v>#DIV/0!</v>
      </c>
      <c r="I137" s="60"/>
      <c r="J137" s="60"/>
      <c r="K137" s="60"/>
      <c r="L137" s="60"/>
      <c r="M137" s="60"/>
      <c r="N137" s="17">
        <f>SUM(N58:N136)</f>
        <v>17.5</v>
      </c>
      <c r="O137" s="72" t="s">
        <v>124</v>
      </c>
    </row>
  </sheetData>
  <sheetProtection selectLockedCells="1"/>
  <mergeCells count="2">
    <mergeCell ref="B55:G55"/>
    <mergeCell ref="H1:P1"/>
  </mergeCells>
  <conditionalFormatting sqref="B55 B56:G56">
    <cfRule type="expression" dxfId="7" priority="13">
      <formula>$N$55=1</formula>
    </cfRule>
    <cfRule type="expression" dxfId="6" priority="14">
      <formula>"G24=1"</formula>
    </cfRule>
  </conditionalFormatting>
  <conditionalFormatting sqref="B56:G56 B55">
    <cfRule type="iconSet" priority="15">
      <iconSet iconSet="3Arrows">
        <cfvo type="percent" val="0"/>
        <cfvo type="percent" val="33"/>
        <cfvo type="percent" val="67"/>
      </iconSet>
    </cfRule>
  </conditionalFormatting>
  <conditionalFormatting sqref="N56">
    <cfRule type="expression" dxfId="5" priority="1">
      <formula>$I$55=1</formula>
    </cfRule>
    <cfRule type="expression" dxfId="4" priority="2">
      <formula>"G24=1"</formula>
    </cfRule>
    <cfRule type="iconSet" priority="3">
      <iconSet iconSet="3Arrows">
        <cfvo type="percent" val="0"/>
        <cfvo type="percent" val="33"/>
        <cfvo type="percent" val="67"/>
      </iconSet>
    </cfRule>
  </conditionalFormatting>
  <dataValidations count="9">
    <dataValidation type="list" allowBlank="1" showInputMessage="1" showErrorMessage="1" errorTitle="Falsche Eingabe" error="bitte ja oder nein angeben_x000a_" sqref="C49 C53 C130 C17 C19 C39 C43 C41 C135" xr:uid="{8C8E61F7-4DD6-42E8-8FE2-BFA2136A8426}">
      <formula1>"ja, nein"</formula1>
    </dataValidation>
    <dataValidation type="decimal" allowBlank="1" showInputMessage="1" showErrorMessage="1" errorTitle="ungültiger Wert" error="Wert darf höchstens 3 sein_x000a_" promptTitle="Wert gemäss Gutachter!" sqref="C132" xr:uid="{AED5F9FE-8B84-48BE-8DE6-E0D483EA06D4}">
      <formula1>0</formula1>
      <formula2>3</formula2>
    </dataValidation>
    <dataValidation type="decimal" allowBlank="1" showInputMessage="1" showErrorMessage="1" errorTitle="ungültiger Wert" error="Geben Sie eine Zahl ein, die höchstens so gross ist wie die Rebfläche" promptTitle="Anzahl ha" sqref="C63 C114 C122 C108 C100 C117 C78 C94 C103 C60 C51 C82:C84 C67:C74" xr:uid="{9A0631B7-39DF-4698-9849-518A94DD1F8A}">
      <formula1>0</formula1>
      <formula2>C$15</formula2>
    </dataValidation>
    <dataValidation type="whole" allowBlank="1" showInputMessage="1" showErrorMessage="1" errorTitle="ungültiger Wert" error="Bitte geben Sie eine Zahl ein" sqref="C97 C91 C89" xr:uid="{EE920B09-5468-4C60-B464-738211306821}">
      <formula1>0</formula1>
      <formula2>999999</formula2>
    </dataValidation>
    <dataValidation type="decimal" allowBlank="1" showInputMessage="1" showErrorMessage="1" errorTitle="ungültiger Wert" error="Geben Sie eine Zahl ein, die höchstens so gross ist wie die Rebfläche" promptTitle="Anzahl ha" sqref="B75 B85" xr:uid="{8C10FEEA-F380-473D-A638-5A84289A9C31}">
      <formula1>0</formula1>
      <formula2>C$15</formula2>
    </dataValidation>
    <dataValidation type="decimal" allowBlank="1" showInputMessage="1" showErrorMessage="1" errorTitle="valeur non admise" error="La valeur doit être comprise entre 0 et la surface viticole" promptTitle="Anzahl ha" sqref="C23 C27 C31 C35" xr:uid="{D7345515-9542-4370-A08D-4D6DE058543C}">
      <formula1>0</formula1>
      <formula2>C$15</formula2>
    </dataValidation>
    <dataValidation type="decimal" allowBlank="1" showInputMessage="1" showErrorMessage="1" errorTitle="ungültiger Wert" error="La valeur doit être au moins celle inscrite sous A4 et au plus celle de la surface viticole" promptTitle="Anzahl ha" sqref="C24" xr:uid="{DCE83EDE-E766-4CE5-B183-81AFE1B1DA04}">
      <formula1>#REF!</formula1>
      <formula2>C$15</formula2>
    </dataValidation>
    <dataValidation type="list" allowBlank="1" showInputMessage="1" showErrorMessage="1" errorTitle="Falsche Eingabe" error="bitte ja oder nein angeben_x000a_" sqref="C24" xr:uid="{02405EAD-EC93-407D-9C9D-501AE299E280}">
      <formula1>"oui, non"</formula1>
    </dataValidation>
    <dataValidation type="decimal" allowBlank="1" showInputMessage="1" showErrorMessage="1" errorTitle="ungültiger Wert" error="La valeur ne peut pas dépasser la surface viticole" promptTitle="Anzahl ha" sqref="C111 C125" xr:uid="{E33D7CA1-5440-4A73-9266-C449FE71919C}">
      <formula1>0</formula1>
      <formula2>C$15</formula2>
    </dataValidation>
  </dataValidations>
  <pageMargins left="0.23622047244094491" right="0.23622047244094491" top="0.74803149606299213" bottom="0.74803149606299213" header="0.31496062992125984" footer="0.31496062992125984"/>
  <pageSetup paperSize="9" fitToHeight="0" orientation="portrait" r:id="rId1"/>
  <rowBreaks count="2" manualBreakCount="2">
    <brk id="56" max="16383" man="1"/>
    <brk id="105" max="16383" man="1"/>
  </rowBreaks>
  <ignoredErrors>
    <ignoredError sqref="B75 B85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7"/>
  <sheetViews>
    <sheetView topLeftCell="A25" zoomScale="90" zoomScaleNormal="90" zoomScaleSheetLayoutView="100" workbookViewId="0">
      <selection activeCell="C25" sqref="C25"/>
    </sheetView>
  </sheetViews>
  <sheetFormatPr baseColWidth="10" defaultColWidth="9.140625" defaultRowHeight="16.5" x14ac:dyDescent="0.25"/>
  <cols>
    <col min="1" max="1" width="14.42578125" style="1" customWidth="1"/>
    <col min="2" max="2" width="43.28515625" style="2" customWidth="1"/>
    <col min="3" max="3" width="15" style="1" customWidth="1"/>
    <col min="4" max="4" width="5.5703125" style="1" customWidth="1"/>
    <col min="5" max="5" width="5.5703125" style="39" customWidth="1"/>
    <col min="6" max="6" width="35.5703125" style="2" customWidth="1"/>
    <col min="7" max="7" width="9.42578125" style="2" customWidth="1"/>
    <col min="8" max="8" width="6.42578125" style="6" customWidth="1"/>
    <col min="9" max="9" width="5.5703125" style="6" customWidth="1"/>
    <col min="10" max="13" width="4.42578125" style="6" customWidth="1"/>
    <col min="14" max="14" width="9.5703125" style="15" customWidth="1"/>
    <col min="15" max="15" width="34.5703125" style="72" customWidth="1"/>
    <col min="16" max="16" width="18.7109375" style="1" customWidth="1"/>
    <col min="17" max="16384" width="9.140625" style="1"/>
  </cols>
  <sheetData>
    <row r="1" spans="1:16" ht="79.5" customHeight="1" x14ac:dyDescent="0.25">
      <c r="F1"/>
      <c r="H1" s="87" t="s">
        <v>125</v>
      </c>
      <c r="I1" s="87"/>
      <c r="J1" s="87"/>
      <c r="K1" s="87"/>
      <c r="L1" s="87"/>
      <c r="M1" s="87"/>
      <c r="N1" s="87"/>
      <c r="O1" s="87"/>
      <c r="P1" s="87"/>
    </row>
    <row r="2" spans="1:16" ht="23.25" x14ac:dyDescent="0.25">
      <c r="A2" s="9" t="s">
        <v>126</v>
      </c>
      <c r="H2" s="50">
        <f>COUNTA(C7,C9,C11,C13)+SUM(vitic,C23,C27,C31,C35,C51,C60,C63,C67,C68,C69,C70,C71,C72,C73,C74,C78,C82,C83,C84,C91,C94,C97,C100,C103,C108,C111,C114,C117,C122,C125,C132)-10+SUM(C17="oui",C19="oui",C39="oui",C41="oui",C43="oui",C49="oui",C53="oui",C130="oui",C135="oui")</f>
        <v>-5</v>
      </c>
      <c r="I2" s="76" t="s">
        <v>127</v>
      </c>
      <c r="J2" s="70"/>
      <c r="K2" s="70"/>
      <c r="L2" s="70"/>
      <c r="M2" s="70"/>
      <c r="N2" s="77"/>
      <c r="O2" s="70" t="s">
        <v>128</v>
      </c>
      <c r="P2" s="70" t="s">
        <v>129</v>
      </c>
    </row>
    <row r="3" spans="1:16" ht="23.25" x14ac:dyDescent="0.25">
      <c r="A3" s="9" t="s">
        <v>130</v>
      </c>
    </row>
    <row r="4" spans="1:16" s="62" customFormat="1" ht="18" x14ac:dyDescent="0.25">
      <c r="A4" s="85">
        <v>45759</v>
      </c>
      <c r="D4" s="63"/>
      <c r="E4" s="64"/>
      <c r="F4" s="65"/>
      <c r="G4" s="65"/>
      <c r="H4" s="59"/>
      <c r="I4" s="59"/>
      <c r="J4" s="59"/>
      <c r="K4" s="59"/>
      <c r="L4" s="59"/>
      <c r="M4" s="59"/>
      <c r="N4" s="66"/>
      <c r="O4" s="73"/>
    </row>
    <row r="5" spans="1:16" x14ac:dyDescent="0.25">
      <c r="D5" s="10"/>
    </row>
    <row r="6" spans="1:16" ht="18" x14ac:dyDescent="0.25">
      <c r="A6" s="3" t="s">
        <v>131</v>
      </c>
    </row>
    <row r="7" spans="1:16" x14ac:dyDescent="0.25">
      <c r="A7" s="1" t="s">
        <v>7</v>
      </c>
      <c r="B7" s="26" t="s">
        <v>132</v>
      </c>
      <c r="C7" s="24"/>
      <c r="D7" s="25"/>
      <c r="E7" s="40"/>
    </row>
    <row r="8" spans="1:16" ht="4.5" customHeight="1" x14ac:dyDescent="0.25">
      <c r="B8" s="26"/>
    </row>
    <row r="9" spans="1:16" x14ac:dyDescent="0.25">
      <c r="A9" s="1" t="s">
        <v>7</v>
      </c>
      <c r="B9" s="26" t="s">
        <v>133</v>
      </c>
      <c r="C9" s="24"/>
      <c r="D9" s="24"/>
      <c r="E9" s="24"/>
    </row>
    <row r="10" spans="1:16" ht="4.5" customHeight="1" x14ac:dyDescent="0.25">
      <c r="B10" s="26"/>
    </row>
    <row r="11" spans="1:16" x14ac:dyDescent="0.25">
      <c r="A11" s="1" t="s">
        <v>7</v>
      </c>
      <c r="B11" s="26" t="s">
        <v>134</v>
      </c>
      <c r="C11" s="24"/>
      <c r="D11" s="25"/>
      <c r="E11" s="40"/>
    </row>
    <row r="12" spans="1:16" ht="4.5" customHeight="1" x14ac:dyDescent="0.25">
      <c r="B12" s="26"/>
    </row>
    <row r="13" spans="1:16" x14ac:dyDescent="0.25">
      <c r="A13" s="1" t="s">
        <v>7</v>
      </c>
      <c r="B13" s="26" t="s">
        <v>135</v>
      </c>
      <c r="C13" s="24"/>
      <c r="D13" s="24"/>
      <c r="E13" s="24"/>
    </row>
    <row r="14" spans="1:16" ht="4.5" customHeight="1" x14ac:dyDescent="0.25">
      <c r="B14" s="26"/>
      <c r="C14" s="1" t="s">
        <v>136</v>
      </c>
    </row>
    <row r="15" spans="1:16" x14ac:dyDescent="0.25">
      <c r="A15" s="1" t="s">
        <v>12</v>
      </c>
      <c r="B15" s="26" t="s">
        <v>137</v>
      </c>
      <c r="C15" s="27"/>
      <c r="D15" s="1" t="s">
        <v>14</v>
      </c>
    </row>
    <row r="16" spans="1:16" ht="4.5" customHeight="1" x14ac:dyDescent="0.25">
      <c r="B16" s="26"/>
    </row>
    <row r="17" spans="1:16" x14ac:dyDescent="0.25">
      <c r="A17" s="1" t="s">
        <v>15</v>
      </c>
      <c r="B17" s="26" t="s">
        <v>138</v>
      </c>
      <c r="C17" s="24" t="s">
        <v>139</v>
      </c>
      <c r="D17" s="14"/>
      <c r="E17" s="47"/>
      <c r="F17" s="26"/>
    </row>
    <row r="18" spans="1:16" ht="4.5" customHeight="1" x14ac:dyDescent="0.25">
      <c r="B18" s="26"/>
    </row>
    <row r="19" spans="1:16" x14ac:dyDescent="0.25">
      <c r="A19" s="1" t="s">
        <v>18</v>
      </c>
      <c r="B19" s="26" t="s">
        <v>140</v>
      </c>
      <c r="C19" s="24" t="s">
        <v>139</v>
      </c>
      <c r="D19" s="14"/>
      <c r="E19" s="47"/>
      <c r="F19" s="26"/>
    </row>
    <row r="20" spans="1:16" x14ac:dyDescent="0.25">
      <c r="N20" s="17"/>
    </row>
    <row r="21" spans="1:16" ht="18" x14ac:dyDescent="0.25">
      <c r="A21" s="3" t="s">
        <v>141</v>
      </c>
      <c r="N21" s="17"/>
    </row>
    <row r="22" spans="1:16" ht="4.5" customHeight="1" x14ac:dyDescent="0.25">
      <c r="N22" s="17"/>
    </row>
    <row r="23" spans="1:16" x14ac:dyDescent="0.25">
      <c r="A23" s="14" t="s">
        <v>21</v>
      </c>
      <c r="B23" s="26" t="s">
        <v>142</v>
      </c>
      <c r="C23" s="27"/>
      <c r="D23" s="1" t="s">
        <v>14</v>
      </c>
      <c r="E23" s="41" t="e">
        <f>C23/vitic</f>
        <v>#DIV/0!</v>
      </c>
      <c r="F23" s="26" t="s">
        <v>143</v>
      </c>
      <c r="N23" s="17"/>
      <c r="O23" s="72" t="s">
        <v>23</v>
      </c>
      <c r="P23" s="1" t="s">
        <v>24</v>
      </c>
    </row>
    <row r="24" spans="1:16" ht="3.95" customHeight="1" x14ac:dyDescent="0.25">
      <c r="A24" s="14"/>
      <c r="B24" s="26"/>
      <c r="C24" s="82"/>
      <c r="N24" s="17"/>
    </row>
    <row r="25" spans="1:16" ht="33" x14ac:dyDescent="0.25">
      <c r="B25" s="2" t="s">
        <v>144</v>
      </c>
      <c r="C25" s="1" t="str">
        <f>IF(C23&gt;=vitic*2/3,"oui","non")</f>
        <v>oui</v>
      </c>
    </row>
    <row r="26" spans="1:16" ht="4.5" customHeight="1" x14ac:dyDescent="0.25">
      <c r="N26" s="17"/>
    </row>
    <row r="27" spans="1:16" x14ac:dyDescent="0.25">
      <c r="A27" s="14" t="s">
        <v>26</v>
      </c>
      <c r="B27" s="26" t="s">
        <v>145</v>
      </c>
      <c r="C27" s="27"/>
      <c r="D27" s="1" t="s">
        <v>14</v>
      </c>
      <c r="E27" s="41" t="e">
        <f>C27/vitic</f>
        <v>#DIV/0!</v>
      </c>
      <c r="F27" s="26" t="s">
        <v>143</v>
      </c>
      <c r="N27" s="17"/>
      <c r="O27" s="72" t="s">
        <v>23</v>
      </c>
      <c r="P27" s="1" t="s">
        <v>24</v>
      </c>
    </row>
    <row r="28" spans="1:16" ht="4.5" customHeight="1" x14ac:dyDescent="0.25">
      <c r="N28" s="17"/>
    </row>
    <row r="29" spans="1:16" ht="33" x14ac:dyDescent="0.25">
      <c r="B29" s="2" t="s">
        <v>144</v>
      </c>
      <c r="C29" s="1" t="str">
        <f>IF(C27&gt;=vitic*2/3,"oui","non")</f>
        <v>oui</v>
      </c>
    </row>
    <row r="30" spans="1:16" ht="4.5" customHeight="1" x14ac:dyDescent="0.25">
      <c r="A30" s="14"/>
      <c r="B30" s="26"/>
      <c r="N30" s="17"/>
    </row>
    <row r="31" spans="1:16" x14ac:dyDescent="0.25">
      <c r="A31" s="14" t="s">
        <v>28</v>
      </c>
      <c r="B31" s="26" t="s">
        <v>146</v>
      </c>
      <c r="C31" s="27"/>
      <c r="D31" s="1" t="s">
        <v>14</v>
      </c>
      <c r="E31" s="41" t="e">
        <f>C31/vitic</f>
        <v>#DIV/0!</v>
      </c>
      <c r="F31" s="26" t="s">
        <v>143</v>
      </c>
      <c r="N31" s="17"/>
      <c r="O31" s="72" t="s">
        <v>23</v>
      </c>
      <c r="P31" s="1" t="s">
        <v>24</v>
      </c>
    </row>
    <row r="32" spans="1:16" ht="4.5" customHeight="1" x14ac:dyDescent="0.25">
      <c r="A32" s="14"/>
      <c r="B32" s="26"/>
      <c r="N32" s="17"/>
    </row>
    <row r="33" spans="1:16" ht="33" x14ac:dyDescent="0.25">
      <c r="B33" s="2" t="s">
        <v>144</v>
      </c>
      <c r="C33" s="1" t="str">
        <f>IF(C31&gt;=vitic*2/3,"oui","non")</f>
        <v>oui</v>
      </c>
    </row>
    <row r="34" spans="1:16" ht="4.5" customHeight="1" x14ac:dyDescent="0.25">
      <c r="A34" s="14"/>
      <c r="B34" s="26"/>
      <c r="N34" s="17"/>
    </row>
    <row r="35" spans="1:16" x14ac:dyDescent="0.25">
      <c r="A35" s="14" t="s">
        <v>30</v>
      </c>
      <c r="B35" s="26" t="s">
        <v>147</v>
      </c>
      <c r="C35" s="27"/>
      <c r="D35" s="1" t="s">
        <v>14</v>
      </c>
      <c r="E35" s="41" t="e">
        <f>C35/vitic</f>
        <v>#DIV/0!</v>
      </c>
      <c r="F35" s="26" t="s">
        <v>143</v>
      </c>
      <c r="N35" s="17"/>
      <c r="O35" s="72" t="s">
        <v>23</v>
      </c>
      <c r="P35" s="1" t="s">
        <v>24</v>
      </c>
    </row>
    <row r="36" spans="1:16" ht="4.5" customHeight="1" x14ac:dyDescent="0.25">
      <c r="A36" s="14"/>
      <c r="B36" s="26"/>
      <c r="N36" s="17"/>
    </row>
    <row r="37" spans="1:16" ht="33" x14ac:dyDescent="0.25">
      <c r="B37" s="2" t="s">
        <v>144</v>
      </c>
      <c r="C37" s="1" t="str">
        <f>IF(C35&gt;=vitic*2/3,"oui","non")</f>
        <v>oui</v>
      </c>
    </row>
    <row r="38" spans="1:16" ht="4.5" customHeight="1" x14ac:dyDescent="0.25">
      <c r="A38" s="14"/>
      <c r="B38" s="26"/>
      <c r="N38" s="17"/>
    </row>
    <row r="39" spans="1:16" ht="27.95" customHeight="1" x14ac:dyDescent="0.25">
      <c r="A39" s="14" t="s">
        <v>32</v>
      </c>
      <c r="B39" s="26" t="s">
        <v>148</v>
      </c>
      <c r="C39" s="24" t="s">
        <v>209</v>
      </c>
      <c r="N39" s="17"/>
    </row>
    <row r="40" spans="1:16" ht="4.5" customHeight="1" x14ac:dyDescent="0.25">
      <c r="A40" s="14"/>
      <c r="B40" s="26"/>
      <c r="N40" s="17"/>
    </row>
    <row r="41" spans="1:16" x14ac:dyDescent="0.25">
      <c r="A41" s="14" t="s">
        <v>34</v>
      </c>
      <c r="B41" s="26" t="s">
        <v>149</v>
      </c>
      <c r="C41" s="24" t="s">
        <v>209</v>
      </c>
      <c r="N41" s="17"/>
    </row>
    <row r="42" spans="1:16" ht="4.5" customHeight="1" x14ac:dyDescent="0.25">
      <c r="A42" s="14"/>
      <c r="B42" s="26"/>
      <c r="N42" s="17"/>
    </row>
    <row r="43" spans="1:16" ht="33" x14ac:dyDescent="0.25">
      <c r="A43" s="14" t="s">
        <v>36</v>
      </c>
      <c r="B43" s="26" t="s">
        <v>150</v>
      </c>
      <c r="C43" s="24" t="s">
        <v>209</v>
      </c>
      <c r="N43" s="17"/>
    </row>
    <row r="44" spans="1:16" ht="4.5" customHeight="1" x14ac:dyDescent="0.25">
      <c r="A44" s="14"/>
      <c r="B44" s="26"/>
      <c r="N44" s="17"/>
    </row>
    <row r="45" spans="1:16" ht="66" x14ac:dyDescent="0.25">
      <c r="A45" s="14" t="s">
        <v>38</v>
      </c>
      <c r="B45" s="2" t="s">
        <v>151</v>
      </c>
      <c r="C45" s="1" t="e">
        <f>+IF(E45&gt;=0.035,"oui", "non")</f>
        <v>#DIV/0!</v>
      </c>
      <c r="E45" s="83" t="e">
        <f>+(SVBNQII+haiesQII+haiesQI+autresQII+autresQI+SPB_sans_contrib)/vitic</f>
        <v>#DIV/0!</v>
      </c>
      <c r="F45" s="26" t="s">
        <v>152</v>
      </c>
      <c r="N45" s="17"/>
      <c r="O45" s="72" t="s">
        <v>41</v>
      </c>
    </row>
    <row r="46" spans="1:16" ht="4.5" customHeight="1" x14ac:dyDescent="0.25">
      <c r="A46" s="14"/>
      <c r="B46" s="26"/>
      <c r="N46" s="17"/>
    </row>
    <row r="47" spans="1:16" ht="33" x14ac:dyDescent="0.25">
      <c r="A47" s="14" t="s">
        <v>42</v>
      </c>
      <c r="B47" s="2" t="s">
        <v>153</v>
      </c>
      <c r="C47" s="1" t="str">
        <f>IF(C97&gt;=(ROUNDUP(vitic,0)),"oui","non")</f>
        <v>oui</v>
      </c>
      <c r="E47" s="42"/>
      <c r="F47" s="26" t="s">
        <v>154</v>
      </c>
      <c r="N47" s="17"/>
      <c r="O47" s="72" t="s">
        <v>41</v>
      </c>
    </row>
    <row r="48" spans="1:16" ht="4.5" customHeight="1" x14ac:dyDescent="0.25">
      <c r="A48" s="14"/>
      <c r="B48" s="26"/>
      <c r="N48" s="17"/>
    </row>
    <row r="49" spans="1:16" ht="27.6" customHeight="1" x14ac:dyDescent="0.25">
      <c r="A49" s="14" t="s">
        <v>45</v>
      </c>
      <c r="B49" s="26" t="s">
        <v>155</v>
      </c>
      <c r="C49" s="24" t="s">
        <v>209</v>
      </c>
      <c r="E49" s="42"/>
      <c r="N49" s="17"/>
    </row>
    <row r="50" spans="1:16" ht="4.5" customHeight="1" x14ac:dyDescent="0.25">
      <c r="A50" s="14"/>
      <c r="B50" s="26"/>
      <c r="E50" s="42"/>
      <c r="F50" s="11"/>
      <c r="N50" s="17"/>
    </row>
    <row r="51" spans="1:16" ht="49.5" x14ac:dyDescent="0.25">
      <c r="A51" s="14"/>
      <c r="B51" s="2" t="s">
        <v>156</v>
      </c>
      <c r="C51" s="27">
        <v>0</v>
      </c>
      <c r="D51" s="1" t="s">
        <v>14</v>
      </c>
      <c r="E51" s="41" t="e">
        <f>C51/vitic</f>
        <v>#DIV/0!</v>
      </c>
      <c r="F51" s="26" t="s">
        <v>143</v>
      </c>
      <c r="N51" s="17"/>
      <c r="O51" s="79" t="s">
        <v>23</v>
      </c>
      <c r="P51" s="1" t="s">
        <v>24</v>
      </c>
    </row>
    <row r="52" spans="1:16" ht="4.5" customHeight="1" x14ac:dyDescent="0.25">
      <c r="A52" s="14"/>
      <c r="B52" s="26"/>
      <c r="E52" s="42"/>
      <c r="F52" s="11"/>
      <c r="N52" s="17"/>
    </row>
    <row r="53" spans="1:16" ht="33" x14ac:dyDescent="0.25">
      <c r="A53" s="14" t="s">
        <v>48</v>
      </c>
      <c r="B53" s="26" t="s">
        <v>157</v>
      </c>
      <c r="C53" s="24" t="s">
        <v>209</v>
      </c>
      <c r="N53" s="17"/>
    </row>
    <row r="54" spans="1:16" ht="4.5" customHeight="1" x14ac:dyDescent="0.25">
      <c r="B54" s="12"/>
      <c r="N54" s="17"/>
    </row>
    <row r="55" spans="1:16" ht="18" x14ac:dyDescent="0.25">
      <c r="B55" s="86" t="e">
        <f>IF(SUM(C25="oui",C29="oui",C33="oui",C37="oui",C39="oui",C41="oui",C43="oui",C45="oui",C47="oui",C49="oui",C53="oui",)=11,"Exigences de base remplies","Attention, toutes les exigences de base ne sont pas remplies")</f>
        <v>#DIV/0!</v>
      </c>
      <c r="C55" s="86"/>
      <c r="D55" s="86"/>
      <c r="E55" s="86"/>
      <c r="F55" s="86"/>
      <c r="G55" s="8"/>
      <c r="N55" s="71"/>
      <c r="O55" s="72" t="s">
        <v>50</v>
      </c>
    </row>
    <row r="56" spans="1:16" ht="18" x14ac:dyDescent="0.25">
      <c r="B56" s="69"/>
      <c r="C56" s="69"/>
      <c r="D56" s="69"/>
      <c r="E56" s="69"/>
      <c r="F56" s="69"/>
      <c r="G56" s="8"/>
      <c r="N56" s="16"/>
    </row>
    <row r="57" spans="1:16" ht="33" x14ac:dyDescent="0.3">
      <c r="A57" s="3" t="s">
        <v>158</v>
      </c>
      <c r="H57" s="19"/>
      <c r="I57" s="19" t="s">
        <v>159</v>
      </c>
      <c r="J57" s="19"/>
      <c r="K57" s="19"/>
      <c r="L57" s="19"/>
      <c r="M57" s="19"/>
      <c r="N57" s="23" t="s">
        <v>160</v>
      </c>
    </row>
    <row r="58" spans="1:16" ht="16.5" customHeight="1" x14ac:dyDescent="0.3">
      <c r="E58" s="39" t="s">
        <v>161</v>
      </c>
      <c r="F58" s="2" t="s">
        <v>162</v>
      </c>
      <c r="G58" s="26" t="s">
        <v>163</v>
      </c>
      <c r="I58" s="33" t="s">
        <v>164</v>
      </c>
      <c r="J58" s="33"/>
      <c r="K58" s="33"/>
      <c r="L58" s="33"/>
      <c r="M58" s="33"/>
    </row>
    <row r="59" spans="1:16" ht="4.5" customHeight="1" x14ac:dyDescent="0.25"/>
    <row r="60" spans="1:16" ht="33" x14ac:dyDescent="0.3">
      <c r="A60" s="14" t="s">
        <v>57</v>
      </c>
      <c r="B60" s="26" t="s">
        <v>165</v>
      </c>
      <c r="C60" s="27">
        <v>0</v>
      </c>
      <c r="D60" s="1" t="s">
        <v>14</v>
      </c>
      <c r="F60" s="54" t="str">
        <f>+"&gt;"&amp;I60&amp;" à "&amp;J60&amp;H60&amp;" = "&amp;I61&amp;" Pt; &gt;"&amp;J60&amp;" à "&amp;K60&amp;H60&amp;" = "&amp;J61&amp;" Pts"</f>
        <v>&gt;7 à 15% = 1 Pt; &gt;15 à 30% = 2 Pts</v>
      </c>
      <c r="G60" s="52"/>
      <c r="H60" s="19" t="s">
        <v>59</v>
      </c>
      <c r="I60" s="19">
        <v>7</v>
      </c>
      <c r="J60" s="19">
        <v>15</v>
      </c>
      <c r="K60" s="20">
        <v>30</v>
      </c>
      <c r="L60" s="19">
        <v>60</v>
      </c>
      <c r="M60" s="19"/>
      <c r="N60" s="23"/>
      <c r="O60" s="72" t="s">
        <v>23</v>
      </c>
      <c r="P60" s="1" t="s">
        <v>24</v>
      </c>
    </row>
    <row r="61" spans="1:16" x14ac:dyDescent="0.3">
      <c r="A61" s="14"/>
      <c r="B61" s="34" t="e">
        <f>+C60/vitic*100</f>
        <v>#DIV/0!</v>
      </c>
      <c r="E61" s="42" t="e">
        <f>+IF(B61&gt;L60,L61,IF(B61&gt;K60,K61,IF(B61&gt;J60,J61,IF(B61&gt;I60,I61,0))))</f>
        <v>#DIV/0!</v>
      </c>
      <c r="F61" s="2" t="str">
        <f>+"&gt;"&amp;K60&amp;"-"&amp;L60&amp;H60&amp;" = "&amp;K61&amp;" Pts; &gt;"&amp;L60&amp;H60&amp;" = "&amp;L61&amp;" Pts"</f>
        <v>&gt;30-60% = 3 Pts; &gt;60% = 4 Pts</v>
      </c>
      <c r="G61" s="2" t="str">
        <f>+"&gt;"&amp;K60&amp;H60</f>
        <v>&gt;30%</v>
      </c>
      <c r="H61" s="6" t="s">
        <v>60</v>
      </c>
      <c r="I61" s="13">
        <v>1</v>
      </c>
      <c r="J61" s="13">
        <v>2</v>
      </c>
      <c r="K61" s="37">
        <v>3</v>
      </c>
      <c r="L61" s="13">
        <v>4</v>
      </c>
      <c r="M61" s="13"/>
      <c r="N61" s="17">
        <f>+K61</f>
        <v>3</v>
      </c>
    </row>
    <row r="62" spans="1:16" ht="4.5" customHeight="1" x14ac:dyDescent="0.25">
      <c r="A62" s="14"/>
      <c r="B62" s="29"/>
      <c r="E62" s="42"/>
      <c r="J62" s="7"/>
      <c r="N62" s="17"/>
    </row>
    <row r="63" spans="1:16" ht="33" x14ac:dyDescent="0.3">
      <c r="A63" s="14" t="s">
        <v>61</v>
      </c>
      <c r="B63" s="26" t="s">
        <v>166</v>
      </c>
      <c r="C63" s="27">
        <v>0</v>
      </c>
      <c r="D63" s="1" t="s">
        <v>14</v>
      </c>
      <c r="F63" s="54" t="str">
        <f>+"&gt;"&amp;I63&amp;" à "&amp;J63&amp;H63&amp;" = "&amp;I64&amp;" Pt; &gt;"&amp;J63&amp;" à "&amp;K63&amp;H63&amp;" = "&amp;J64&amp;" Pts"</f>
        <v>&gt;0,5 à 1,5% = 1 Pt; &gt;1,5 à 2,5% = 2 Pts</v>
      </c>
      <c r="G63" s="52"/>
      <c r="H63" s="19" t="s">
        <v>59</v>
      </c>
      <c r="I63" s="20">
        <v>0.5</v>
      </c>
      <c r="J63" s="19">
        <v>1.5</v>
      </c>
      <c r="K63" s="19">
        <v>2.5</v>
      </c>
      <c r="L63" s="19">
        <v>4</v>
      </c>
      <c r="M63" s="19"/>
      <c r="N63" s="51"/>
      <c r="O63" s="72" t="s">
        <v>23</v>
      </c>
      <c r="P63" s="1" t="s">
        <v>24</v>
      </c>
    </row>
    <row r="64" spans="1:16" x14ac:dyDescent="0.3">
      <c r="A64" s="14"/>
      <c r="B64" s="34" t="e">
        <f>+C63/vitic*100</f>
        <v>#DIV/0!</v>
      </c>
      <c r="E64" s="42" t="e">
        <f>+IF(B64&gt;L63,L64,IF(B64&gt;K63,K64,IF(B64&gt;J63,J64,IF(B64&gt;I63,I64,0))))</f>
        <v>#DIV/0!</v>
      </c>
      <c r="F64" s="2" t="str">
        <f>+"&gt;"&amp;K63&amp;" à "&amp;L63&amp;H63&amp;" = "&amp;K64&amp;" Pts; &gt;"&amp;L63&amp;H63&amp;" = "&amp;L64&amp;" Pts"</f>
        <v>&gt;2,5 à 4% = 4 Pts; &gt;4% = 6 Pts</v>
      </c>
      <c r="G64" s="2" t="str">
        <f>+"&gt;"&amp;I63&amp;H63</f>
        <v>&gt;0,5%</v>
      </c>
      <c r="H64" s="6" t="s">
        <v>60</v>
      </c>
      <c r="I64" s="37">
        <v>1</v>
      </c>
      <c r="J64" s="13">
        <v>2</v>
      </c>
      <c r="K64" s="13">
        <v>4</v>
      </c>
      <c r="L64" s="13">
        <v>6</v>
      </c>
      <c r="M64" s="13"/>
      <c r="N64" s="17">
        <f>+I64</f>
        <v>1</v>
      </c>
    </row>
    <row r="65" spans="1:16" ht="4.5" customHeight="1" x14ac:dyDescent="0.25">
      <c r="A65" s="14"/>
      <c r="B65" s="29"/>
      <c r="E65" s="42"/>
      <c r="N65" s="17"/>
    </row>
    <row r="66" spans="1:16" ht="49.5" x14ac:dyDescent="0.3">
      <c r="A66" s="14" t="s">
        <v>63</v>
      </c>
      <c r="B66" s="26" t="s">
        <v>167</v>
      </c>
      <c r="F66" s="68"/>
      <c r="N66" s="51"/>
    </row>
    <row r="67" spans="1:16" x14ac:dyDescent="0.3">
      <c r="A67" s="14"/>
      <c r="B67" s="26" t="s">
        <v>168</v>
      </c>
      <c r="C67" s="27">
        <v>0</v>
      </c>
      <c r="D67" s="1" t="s">
        <v>14</v>
      </c>
      <c r="H67" s="19"/>
      <c r="I67" s="19"/>
      <c r="J67" s="20"/>
      <c r="K67" s="19"/>
      <c r="L67" s="19"/>
      <c r="N67" s="17"/>
      <c r="O67" s="72" t="s">
        <v>23</v>
      </c>
      <c r="P67" s="1" t="s">
        <v>24</v>
      </c>
    </row>
    <row r="68" spans="1:16" x14ac:dyDescent="0.3">
      <c r="A68" s="14"/>
      <c r="B68" s="26" t="s">
        <v>169</v>
      </c>
      <c r="C68" s="27">
        <v>0</v>
      </c>
      <c r="D68" s="1" t="s">
        <v>14</v>
      </c>
      <c r="F68" s="54"/>
      <c r="H68" s="19"/>
      <c r="I68" s="19"/>
      <c r="J68" s="20"/>
      <c r="K68" s="19"/>
      <c r="L68" s="19"/>
      <c r="N68" s="17"/>
      <c r="O68" s="72" t="s">
        <v>23</v>
      </c>
      <c r="P68" s="1" t="s">
        <v>24</v>
      </c>
    </row>
    <row r="69" spans="1:16" x14ac:dyDescent="0.3">
      <c r="A69" s="14"/>
      <c r="B69" s="26" t="s">
        <v>170</v>
      </c>
      <c r="C69" s="27">
        <v>0</v>
      </c>
      <c r="D69" s="1" t="s">
        <v>14</v>
      </c>
      <c r="H69" s="19"/>
      <c r="I69" s="19"/>
      <c r="J69" s="20"/>
      <c r="K69" s="19"/>
      <c r="L69" s="19"/>
      <c r="N69" s="17"/>
      <c r="O69" s="72" t="s">
        <v>23</v>
      </c>
      <c r="P69" s="1" t="s">
        <v>24</v>
      </c>
    </row>
    <row r="70" spans="1:16" x14ac:dyDescent="0.3">
      <c r="A70" s="14"/>
      <c r="B70" s="26" t="s">
        <v>171</v>
      </c>
      <c r="C70" s="27">
        <v>0</v>
      </c>
      <c r="D70" s="1" t="s">
        <v>14</v>
      </c>
      <c r="F70" s="54"/>
      <c r="H70" s="19"/>
      <c r="I70" s="19"/>
      <c r="J70" s="20"/>
      <c r="K70" s="19"/>
      <c r="L70" s="19"/>
      <c r="N70" s="17"/>
      <c r="O70" s="72" t="s">
        <v>23</v>
      </c>
      <c r="P70" s="1" t="s">
        <v>24</v>
      </c>
    </row>
    <row r="71" spans="1:16" x14ac:dyDescent="0.3">
      <c r="A71" s="14"/>
      <c r="B71" s="26" t="s">
        <v>172</v>
      </c>
      <c r="C71" s="27">
        <v>0</v>
      </c>
      <c r="D71" s="1" t="s">
        <v>14</v>
      </c>
      <c r="F71" s="54"/>
      <c r="H71" s="19"/>
      <c r="I71" s="19"/>
      <c r="J71" s="20"/>
      <c r="K71" s="19"/>
      <c r="L71" s="19"/>
      <c r="N71" s="17"/>
      <c r="O71" s="72" t="s">
        <v>23</v>
      </c>
      <c r="P71" s="1" t="s">
        <v>24</v>
      </c>
    </row>
    <row r="72" spans="1:16" x14ac:dyDescent="0.3">
      <c r="A72" s="14"/>
      <c r="B72" s="26" t="s">
        <v>173</v>
      </c>
      <c r="C72" s="27">
        <v>0</v>
      </c>
      <c r="D72" s="1" t="s">
        <v>14</v>
      </c>
      <c r="F72" s="54"/>
      <c r="H72" s="19"/>
      <c r="I72" s="19"/>
      <c r="J72" s="20"/>
      <c r="K72" s="19"/>
      <c r="L72" s="19"/>
      <c r="N72" s="17"/>
      <c r="O72" s="72" t="s">
        <v>23</v>
      </c>
      <c r="P72" s="1" t="s">
        <v>24</v>
      </c>
    </row>
    <row r="73" spans="1:16" x14ac:dyDescent="0.3">
      <c r="A73" s="14"/>
      <c r="B73" s="26" t="s">
        <v>174</v>
      </c>
      <c r="C73" s="27">
        <v>0</v>
      </c>
      <c r="D73" s="1" t="s">
        <v>14</v>
      </c>
      <c r="F73" s="54"/>
      <c r="H73" s="19"/>
      <c r="I73" s="19"/>
      <c r="J73" s="20"/>
      <c r="K73" s="19"/>
      <c r="L73" s="19"/>
      <c r="N73" s="17"/>
      <c r="O73" s="72" t="s">
        <v>23</v>
      </c>
      <c r="P73" s="1" t="s">
        <v>24</v>
      </c>
    </row>
    <row r="74" spans="1:16" ht="49.5" x14ac:dyDescent="0.3">
      <c r="A74" s="14"/>
      <c r="B74" s="26" t="s">
        <v>175</v>
      </c>
      <c r="C74" s="27">
        <v>0</v>
      </c>
      <c r="D74" s="1" t="s">
        <v>14</v>
      </c>
      <c r="F74" s="54"/>
      <c r="H74" s="19"/>
      <c r="I74" s="19"/>
      <c r="J74" s="20"/>
      <c r="K74" s="19"/>
      <c r="L74" s="19"/>
      <c r="N74" s="17"/>
      <c r="O74" s="72" t="s">
        <v>23</v>
      </c>
      <c r="P74" s="1" t="s">
        <v>24</v>
      </c>
    </row>
    <row r="75" spans="1:16" x14ac:dyDescent="0.3">
      <c r="A75" s="14"/>
      <c r="B75" s="81">
        <f>SUM(C67:C74)</f>
        <v>0</v>
      </c>
      <c r="F75" s="54" t="str">
        <f>+"&gt;"&amp;I75&amp;" à "&amp;J75&amp;H75&amp;" = "&amp;I76&amp;" Pt; &gt;"&amp;J75&amp;" à "&amp;K75&amp;H75&amp;" = "&amp;J76&amp;" Pts"</f>
        <v>&gt;1 à 2% = 1 Pt; &gt;2 à 4% = 2 Pts</v>
      </c>
      <c r="G75" s="52"/>
      <c r="H75" s="19" t="s">
        <v>59</v>
      </c>
      <c r="I75" s="19">
        <v>1</v>
      </c>
      <c r="J75" s="20">
        <v>2</v>
      </c>
      <c r="K75" s="19">
        <v>4</v>
      </c>
      <c r="L75" s="19">
        <v>8</v>
      </c>
      <c r="M75" s="19"/>
      <c r="N75" s="51"/>
      <c r="O75" s="72" t="s">
        <v>73</v>
      </c>
      <c r="P75" s="1" t="s">
        <v>24</v>
      </c>
    </row>
    <row r="76" spans="1:16" x14ac:dyDescent="0.3">
      <c r="A76" s="14"/>
      <c r="B76" s="34" t="e">
        <f>+B75/vitic*100</f>
        <v>#DIV/0!</v>
      </c>
      <c r="E76" s="42" t="e">
        <f>+IF(B76&gt;L75,L76,IF(B76&gt;K75,K76,IF(B76&gt;J75,J76,IF(B76&gt;I75,I76,0))))</f>
        <v>#DIV/0!</v>
      </c>
      <c r="F76" s="2" t="str">
        <f>+"&gt;"&amp;K75&amp;" à "&amp;L75&amp;H75&amp;" = "&amp;K76&amp;" Pts; &gt;"&amp;L75&amp;H75&amp;" = "&amp;L76&amp;" Pts"</f>
        <v>&gt;4 à 8% = 4 Pts; &gt;8% = 6 Pts</v>
      </c>
      <c r="G76" s="2" t="str">
        <f>+"&gt;"&amp;J75&amp;H75</f>
        <v>&gt;2%</v>
      </c>
      <c r="H76" s="6" t="s">
        <v>60</v>
      </c>
      <c r="I76" s="13">
        <v>1</v>
      </c>
      <c r="J76" s="37">
        <v>2</v>
      </c>
      <c r="K76" s="13">
        <v>4</v>
      </c>
      <c r="L76" s="13">
        <v>6</v>
      </c>
      <c r="M76" s="13"/>
      <c r="N76" s="17">
        <f>+J76</f>
        <v>2</v>
      </c>
    </row>
    <row r="77" spans="1:16" ht="4.5" customHeight="1" x14ac:dyDescent="0.25">
      <c r="A77" s="14"/>
      <c r="B77" s="29"/>
      <c r="E77" s="42"/>
      <c r="N77" s="17"/>
    </row>
    <row r="78" spans="1:16" ht="33" x14ac:dyDescent="0.3">
      <c r="A78" s="14" t="s">
        <v>74</v>
      </c>
      <c r="B78" s="26" t="s">
        <v>176</v>
      </c>
      <c r="C78" s="27">
        <v>0</v>
      </c>
      <c r="D78" s="1" t="s">
        <v>14</v>
      </c>
      <c r="F78" s="54" t="str">
        <f>+"&gt;"&amp;I78&amp;" à "&amp;J78&amp;H78&amp;" = "&amp;I79&amp;" Pt; &gt;"&amp;J78&amp;" à "&amp;K78&amp;H78&amp;" = "&amp;J79&amp;" Pt"</f>
        <v>&gt;0,5 à 1,5% = 0,5 Pt; &gt;1,5 à 2,5% = 1 Pt</v>
      </c>
      <c r="G78" s="52"/>
      <c r="H78" s="19" t="s">
        <v>59</v>
      </c>
      <c r="I78" s="20">
        <v>0.5</v>
      </c>
      <c r="J78" s="19">
        <v>1.5</v>
      </c>
      <c r="K78" s="19">
        <v>2.5</v>
      </c>
      <c r="L78" s="19">
        <v>4</v>
      </c>
      <c r="M78" s="19"/>
      <c r="N78" s="23"/>
      <c r="O78" s="72" t="s">
        <v>23</v>
      </c>
      <c r="P78" s="1" t="s">
        <v>24</v>
      </c>
    </row>
    <row r="79" spans="1:16" x14ac:dyDescent="0.3">
      <c r="A79" s="14"/>
      <c r="B79" s="34" t="e">
        <f>+C78/vitic*100</f>
        <v>#DIV/0!</v>
      </c>
      <c r="E79" s="42" t="e">
        <f>+IF(B79&gt;L78,L79,IF(B79&gt;K78,K79,IF(B79&gt;J78,J79,IF(B79&gt;I78,I79,0))))</f>
        <v>#DIV/0!</v>
      </c>
      <c r="F79" s="2" t="str">
        <f>+"&gt;"&amp;K78&amp;" à "&amp;L78&amp;H78&amp;" = "&amp;K79&amp;" Pts; &gt;"&amp;L78&amp;H78&amp;" = "&amp;L79&amp;" Pts"</f>
        <v>&gt;2,5 à 4% = 2 Pts; &gt;4% = 3 Pts</v>
      </c>
      <c r="G79" s="2" t="str">
        <f>+"&gt;"&amp;I78&amp;H78</f>
        <v>&gt;0,5%</v>
      </c>
      <c r="H79" s="6" t="s">
        <v>76</v>
      </c>
      <c r="I79" s="37">
        <v>0.5</v>
      </c>
      <c r="J79" s="13">
        <v>1</v>
      </c>
      <c r="K79" s="13">
        <v>2</v>
      </c>
      <c r="L79" s="13">
        <v>3</v>
      </c>
      <c r="M79" s="13"/>
      <c r="N79" s="17">
        <f>+I79</f>
        <v>0.5</v>
      </c>
    </row>
    <row r="80" spans="1:16" ht="4.5" customHeight="1" x14ac:dyDescent="0.25">
      <c r="A80" s="14"/>
      <c r="B80" s="29"/>
      <c r="E80" s="42"/>
      <c r="N80" s="18"/>
    </row>
    <row r="81" spans="1:16" ht="33" x14ac:dyDescent="0.3">
      <c r="A81" s="14" t="s">
        <v>77</v>
      </c>
      <c r="B81" s="26" t="s">
        <v>177</v>
      </c>
      <c r="F81" s="54"/>
      <c r="G81" s="52"/>
      <c r="H81" s="19"/>
      <c r="I81" s="19"/>
      <c r="J81" s="20"/>
      <c r="K81" s="19"/>
      <c r="L81" s="19"/>
      <c r="M81" s="19"/>
      <c r="N81" s="67"/>
    </row>
    <row r="82" spans="1:16" ht="14.45" customHeight="1" x14ac:dyDescent="0.3">
      <c r="A82" s="14"/>
      <c r="B82" s="26" t="s">
        <v>178</v>
      </c>
      <c r="C82" s="27">
        <v>0</v>
      </c>
      <c r="F82" s="54"/>
      <c r="G82" s="52"/>
      <c r="H82" s="19"/>
      <c r="I82" s="19"/>
      <c r="J82" s="20"/>
      <c r="K82" s="19"/>
      <c r="L82" s="19"/>
      <c r="M82" s="19"/>
      <c r="N82" s="67"/>
      <c r="O82" s="72" t="s">
        <v>23</v>
      </c>
      <c r="P82" s="1" t="s">
        <v>24</v>
      </c>
    </row>
    <row r="83" spans="1:16" ht="14.45" customHeight="1" x14ac:dyDescent="0.3">
      <c r="A83" s="14"/>
      <c r="B83" s="26" t="s">
        <v>179</v>
      </c>
      <c r="C83" s="27">
        <v>0</v>
      </c>
      <c r="F83" s="54"/>
      <c r="G83" s="52"/>
      <c r="H83" s="19"/>
      <c r="I83" s="19"/>
      <c r="J83" s="20"/>
      <c r="K83" s="19"/>
      <c r="L83" s="19"/>
      <c r="M83" s="19"/>
      <c r="N83" s="67"/>
      <c r="O83" s="72" t="s">
        <v>23</v>
      </c>
      <c r="P83" s="1" t="s">
        <v>24</v>
      </c>
    </row>
    <row r="84" spans="1:16" ht="14.45" customHeight="1" x14ac:dyDescent="0.3">
      <c r="A84" s="14"/>
      <c r="B84" s="26" t="s">
        <v>180</v>
      </c>
      <c r="C84" s="27">
        <v>0</v>
      </c>
      <c r="F84" s="54"/>
      <c r="G84" s="52"/>
      <c r="H84" s="19"/>
      <c r="I84" s="19"/>
      <c r="J84" s="20"/>
      <c r="K84" s="19"/>
      <c r="L84" s="19"/>
      <c r="M84" s="19"/>
      <c r="N84" s="67"/>
      <c r="O84" s="72" t="s">
        <v>23</v>
      </c>
      <c r="P84" s="1" t="s">
        <v>24</v>
      </c>
    </row>
    <row r="85" spans="1:16" ht="14.45" customHeight="1" x14ac:dyDescent="0.3">
      <c r="A85" s="14"/>
      <c r="B85" s="81">
        <f>SUM(C82:C84)</f>
        <v>0</v>
      </c>
      <c r="C85" s="80"/>
      <c r="F85" s="54" t="str">
        <f>+"&gt;"&amp;I85&amp;" à "&amp;J85&amp;H85&amp;" = "&amp;I86&amp;" Pt; &gt;"&amp;J85&amp;" à "&amp;K85&amp;H85&amp;" = "&amp;J86&amp;" Pt"</f>
        <v>&gt;1 à 2% = 0,5 Pt; &gt;2 à 4% = 1 Pt</v>
      </c>
      <c r="G85" s="52"/>
      <c r="H85" s="19" t="s">
        <v>59</v>
      </c>
      <c r="I85" s="19">
        <v>1</v>
      </c>
      <c r="J85" s="20">
        <v>2</v>
      </c>
      <c r="K85" s="19">
        <v>4</v>
      </c>
      <c r="L85" s="19">
        <v>8</v>
      </c>
      <c r="M85" s="19"/>
      <c r="N85" s="67"/>
      <c r="O85" s="72" t="s">
        <v>73</v>
      </c>
      <c r="P85" s="1" t="s">
        <v>24</v>
      </c>
    </row>
    <row r="86" spans="1:16" x14ac:dyDescent="0.3">
      <c r="A86" s="14"/>
      <c r="B86" s="34" t="e">
        <f>+B85/vitic*100</f>
        <v>#DIV/0!</v>
      </c>
      <c r="E86" s="42" t="e">
        <f>+IF(B86&gt;L85,L86,IF(B86&gt;K85,K86,IF(B86&gt;J85,J86,IF(B86&gt;I85,I86,0))))</f>
        <v>#DIV/0!</v>
      </c>
      <c r="F86" s="2" t="str">
        <f>+"&gt;"&amp;K85&amp;" à "&amp;L85&amp;H85&amp;" = "&amp;K86&amp;" Pts; &gt;"&amp;L85&amp;H85&amp;" = "&amp;L86&amp;" Pts"</f>
        <v>&gt;4 à 8% = 2 Pts; &gt;8% = 3 Pts</v>
      </c>
      <c r="G86" s="2" t="str">
        <f>+"&gt;"&amp;J85&amp;H85</f>
        <v>&gt;2%</v>
      </c>
      <c r="H86" s="6" t="s">
        <v>76</v>
      </c>
      <c r="I86" s="13">
        <v>0.5</v>
      </c>
      <c r="J86" s="37">
        <v>1</v>
      </c>
      <c r="K86" s="13">
        <v>2</v>
      </c>
      <c r="L86" s="13">
        <v>3</v>
      </c>
      <c r="M86" s="13"/>
      <c r="N86" s="17">
        <f>+J86</f>
        <v>1</v>
      </c>
    </row>
    <row r="87" spans="1:16" ht="4.5" customHeight="1" x14ac:dyDescent="0.25">
      <c r="A87" s="14"/>
      <c r="B87" s="29"/>
      <c r="E87" s="42"/>
    </row>
    <row r="88" spans="1:16" ht="33" x14ac:dyDescent="0.3">
      <c r="A88" s="14" t="s">
        <v>82</v>
      </c>
      <c r="B88" s="28" t="s">
        <v>205</v>
      </c>
      <c r="F88" s="54" t="str">
        <f>+I88&amp;" "&amp;H88&amp;" = "&amp;I89&amp;" Pt; "&amp;J88&amp;" "&amp;H88&amp;" = "&amp;J89&amp;" Pt"</f>
        <v>2 types = 0,5 Pt; 3 types = 1 Pt</v>
      </c>
      <c r="G88" s="54" t="str">
        <f>+J88&amp;" "&amp;H88</f>
        <v>3 types</v>
      </c>
      <c r="H88" s="19" t="str">
        <f>+D89</f>
        <v>types</v>
      </c>
      <c r="I88" s="19">
        <v>2</v>
      </c>
      <c r="J88" s="20">
        <v>3</v>
      </c>
      <c r="K88" s="19">
        <v>4</v>
      </c>
      <c r="L88" s="19"/>
      <c r="M88" s="19"/>
      <c r="N88" s="51"/>
    </row>
    <row r="89" spans="1:16" x14ac:dyDescent="0.3">
      <c r="A89" s="14"/>
      <c r="B89" s="28" t="s">
        <v>181</v>
      </c>
      <c r="C89" s="82"/>
      <c r="D89" s="14" t="s">
        <v>182</v>
      </c>
      <c r="E89" s="42">
        <f>+IF(C89&gt;K88,L89,IF(C89=K88,K89,IF(C89=J88,J89,IF(C89=I88,I89,0))))</f>
        <v>0</v>
      </c>
      <c r="F89" s="2" t="str">
        <f>+K88&amp;" "&amp;H88&amp;" = "&amp;K89&amp;" Pts; &gt;"&amp;K88&amp;" "&amp;H88&amp;" = "&amp;L89&amp;" Pts"</f>
        <v>4 types = 2 Pts; &gt;4 types = 3 Pts</v>
      </c>
      <c r="H89" s="6" t="s">
        <v>76</v>
      </c>
      <c r="I89" s="33">
        <v>0.5</v>
      </c>
      <c r="J89" s="38">
        <v>1</v>
      </c>
      <c r="K89" s="33">
        <v>2</v>
      </c>
      <c r="L89" s="33">
        <v>3</v>
      </c>
      <c r="M89" s="33"/>
      <c r="N89" s="17">
        <f>+J89</f>
        <v>1</v>
      </c>
      <c r="O89" s="72" t="s">
        <v>41</v>
      </c>
    </row>
    <row r="90" spans="1:16" ht="4.5" customHeight="1" x14ac:dyDescent="0.25">
      <c r="A90" s="14"/>
      <c r="B90" s="29"/>
      <c r="E90" s="42"/>
      <c r="J90" s="7"/>
      <c r="N90" s="17"/>
    </row>
    <row r="91" spans="1:16" ht="33" x14ac:dyDescent="0.3">
      <c r="A91" s="14" t="s">
        <v>85</v>
      </c>
      <c r="B91" s="26" t="s">
        <v>183</v>
      </c>
      <c r="C91" s="24"/>
      <c r="D91" s="1" t="s">
        <v>87</v>
      </c>
      <c r="F91" s="2" t="str">
        <f>+"&gt;"&amp;I91&amp;" à "&amp;J91&amp;H91&amp;" = "&amp;I92&amp;" Pt; &gt;"&amp;J91&amp;" à "&amp;K91&amp;H91&amp;" = "&amp;J92&amp;" Pts"</f>
        <v>&gt;0 à 20 m/ha = 0,5 Pt; &gt;20 à 40 m/ha = 1 Pts</v>
      </c>
      <c r="H91" s="19" t="s">
        <v>88</v>
      </c>
      <c r="I91" s="20">
        <v>0</v>
      </c>
      <c r="J91" s="20">
        <v>20</v>
      </c>
      <c r="K91" s="19">
        <v>40</v>
      </c>
      <c r="L91" s="19">
        <v>60</v>
      </c>
      <c r="M91" s="19">
        <v>80</v>
      </c>
      <c r="N91" s="17"/>
    </row>
    <row r="92" spans="1:16" ht="33" x14ac:dyDescent="0.3">
      <c r="A92" s="14"/>
      <c r="B92" s="35" t="e">
        <f>+C91/vitic</f>
        <v>#DIV/0!</v>
      </c>
      <c r="E92" s="42" t="e">
        <f>+IF(B92&gt;L91,L92,IF(B92&gt;K91,K92,IF(B92&gt;J91,J92,IF(B92&gt;I91,I92,0))))</f>
        <v>#DIV/0!</v>
      </c>
      <c r="F92" s="2" t="str">
        <f>+"&gt;"&amp;K91&amp;" à "&amp;L91&amp;H91&amp;" = "&amp;K92&amp;" Pts; &gt;"&amp;L91&amp;" à "&amp;M91&amp;H91&amp;" = "&amp;L92&amp;" Pts; &gt;"&amp;M91&amp;H91&amp;" = "&amp;M92&amp;" Pts"</f>
        <v>&gt;40 à 60 m/ha = 2 Pts; &gt;60 à 80 m/ha = 3 Pts; &gt;80 m/ha = 4 Pts</v>
      </c>
      <c r="G92" s="1" t="str">
        <f>+"&gt;"&amp;I91&amp;" "&amp;H91</f>
        <v>&gt;0  m/ha</v>
      </c>
      <c r="H92" s="6" t="s">
        <v>76</v>
      </c>
      <c r="I92" s="13">
        <v>0.5</v>
      </c>
      <c r="J92" s="37">
        <v>1</v>
      </c>
      <c r="K92" s="13">
        <v>2</v>
      </c>
      <c r="L92" s="13">
        <v>3</v>
      </c>
      <c r="M92" s="13">
        <v>4</v>
      </c>
      <c r="N92" s="17">
        <f>J92</f>
        <v>1</v>
      </c>
    </row>
    <row r="93" spans="1:16" ht="4.5" customHeight="1" x14ac:dyDescent="0.25">
      <c r="A93" s="14"/>
      <c r="B93" s="29"/>
      <c r="E93" s="42"/>
      <c r="J93" s="7"/>
      <c r="N93" s="17"/>
    </row>
    <row r="94" spans="1:16" ht="33" x14ac:dyDescent="0.3">
      <c r="A94" s="14" t="s">
        <v>89</v>
      </c>
      <c r="B94" s="26" t="s">
        <v>207</v>
      </c>
      <c r="C94" s="27"/>
      <c r="D94" s="14" t="s">
        <v>14</v>
      </c>
      <c r="F94" s="54" t="str">
        <f>+"&gt;"&amp;I94&amp;" à "&amp;J94&amp;H94&amp;" = "&amp;I95&amp;" Pt; &gt;"&amp;J94&amp;" à "&amp;K94&amp;H94&amp;" = "&amp;J95&amp;" Pts"</f>
        <v>&gt;1 à 2% = 1 Pt; &gt;2 à 4% = 2 Pts</v>
      </c>
      <c r="G94" s="52"/>
      <c r="H94" s="19" t="s">
        <v>59</v>
      </c>
      <c r="I94" s="20">
        <v>1</v>
      </c>
      <c r="J94" s="19">
        <v>2</v>
      </c>
      <c r="K94" s="19">
        <v>4</v>
      </c>
      <c r="L94" s="19">
        <v>6</v>
      </c>
      <c r="M94" s="19"/>
      <c r="O94" s="72" t="s">
        <v>23</v>
      </c>
      <c r="P94" s="1" t="s">
        <v>24</v>
      </c>
    </row>
    <row r="95" spans="1:16" x14ac:dyDescent="0.3">
      <c r="A95" s="14"/>
      <c r="B95" s="34" t="e">
        <f>+C94/vitic*100</f>
        <v>#DIV/0!</v>
      </c>
      <c r="E95" s="42" t="e">
        <f>+IF(B95&gt;L94,L95,IF(B95&gt;K94,K95,IF(B95&gt;J94,J95,IF(B95&gt;I94,I95,0))))</f>
        <v>#DIV/0!</v>
      </c>
      <c r="F95" s="2" t="str">
        <f>+"&gt;"&amp;K94&amp;" à "&amp;L94&amp;H94&amp;" = "&amp;K95&amp;" Pts; &gt;"&amp;L94&amp;H94&amp;" = "&amp;L95&amp;" Pts"</f>
        <v>&gt;4 à 6% = 3 Pts; &gt;6% = 4 Pts</v>
      </c>
      <c r="G95" s="2" t="str">
        <f>+"&gt;"&amp;I94&amp;H94</f>
        <v>&gt;1%</v>
      </c>
      <c r="H95" s="6" t="s">
        <v>76</v>
      </c>
      <c r="I95" s="37">
        <v>1</v>
      </c>
      <c r="J95" s="13">
        <v>2</v>
      </c>
      <c r="K95" s="13">
        <v>3</v>
      </c>
      <c r="L95" s="13">
        <v>4</v>
      </c>
      <c r="M95" s="13"/>
      <c r="N95" s="17">
        <f>+I95</f>
        <v>1</v>
      </c>
    </row>
    <row r="96" spans="1:16" ht="4.5" customHeight="1" x14ac:dyDescent="0.25">
      <c r="A96" s="14"/>
      <c r="B96" s="29"/>
      <c r="E96" s="42"/>
      <c r="J96" s="7"/>
      <c r="N96" s="17"/>
    </row>
    <row r="97" spans="1:16" ht="33" x14ac:dyDescent="0.3">
      <c r="A97" s="14" t="s">
        <v>90</v>
      </c>
      <c r="B97" s="26" t="s">
        <v>184</v>
      </c>
      <c r="C97" s="24"/>
      <c r="D97" s="1" t="s">
        <v>185</v>
      </c>
      <c r="F97" s="54" t="str">
        <f>+"&gt;"&amp;I97&amp;" à "&amp;J97&amp;H97&amp;" = "&amp;I98&amp;" Pt; &gt;"&amp;J97&amp;" à "&amp;K97&amp;H97&amp;" = "&amp;J98&amp;" Pt"</f>
        <v>&gt;1 à 2/ha = 0,5 Pt; &gt;2 à 3/ha = 1 Pt</v>
      </c>
      <c r="G97" s="54" t="str">
        <f>+"&gt;"&amp;J98&amp;" "&amp;H97</f>
        <v>&gt;1 /ha</v>
      </c>
      <c r="H97" s="19" t="s">
        <v>186</v>
      </c>
      <c r="I97" s="19">
        <v>1</v>
      </c>
      <c r="J97" s="20">
        <v>2</v>
      </c>
      <c r="K97" s="19">
        <v>3</v>
      </c>
      <c r="L97" s="19">
        <v>4</v>
      </c>
      <c r="M97" s="19"/>
      <c r="N97" s="51"/>
    </row>
    <row r="98" spans="1:16" x14ac:dyDescent="0.3">
      <c r="A98" s="14"/>
      <c r="B98" s="44" t="e">
        <f>+C97/vitic</f>
        <v>#DIV/0!</v>
      </c>
      <c r="E98" s="42" t="e">
        <f>+IF(B98&gt;L97,L98,IF(B98&gt;K97,K98,IF(B98&gt;J97,J98,IF(B98&gt;I97,I98,0))))</f>
        <v>#DIV/0!</v>
      </c>
      <c r="F98" s="2" t="str">
        <f>+"&gt;"&amp;K97&amp;" à "&amp;L97&amp;H97&amp;" = "&amp;K98&amp;" Pts; &gt;"&amp;L97&amp;H97&amp;" = "&amp;L98&amp;" Pts"</f>
        <v>&gt;3 à 4/ha = 1,5 Pts; &gt;4/ha = 2 Pts</v>
      </c>
      <c r="H98" s="6" t="s">
        <v>76</v>
      </c>
      <c r="I98" s="13">
        <v>0.5</v>
      </c>
      <c r="J98" s="37">
        <v>1</v>
      </c>
      <c r="K98" s="13">
        <v>1.5</v>
      </c>
      <c r="L98" s="13">
        <v>2</v>
      </c>
      <c r="M98" s="13"/>
      <c r="N98" s="17">
        <f>+J98</f>
        <v>1</v>
      </c>
    </row>
    <row r="99" spans="1:16" ht="4.5" customHeight="1" x14ac:dyDescent="0.25">
      <c r="A99" s="14"/>
      <c r="B99" s="29"/>
      <c r="E99" s="42"/>
    </row>
    <row r="100" spans="1:16" ht="16.5" customHeight="1" x14ac:dyDescent="0.25">
      <c r="A100" s="14" t="s">
        <v>94</v>
      </c>
      <c r="B100" s="26" t="s">
        <v>187</v>
      </c>
      <c r="C100" s="27"/>
      <c r="D100" s="1" t="s">
        <v>14</v>
      </c>
      <c r="F100" s="2" t="str">
        <f>+"&gt;"&amp;I100&amp;" à "&amp;J100&amp;H100&amp;" = "&amp;I101&amp;" Pt; &gt;"&amp;J100&amp;" à "&amp;K100&amp;H100&amp;" = "&amp;J101&amp;" Pts"</f>
        <v>&gt;20 à 40% = 1 Pt; &gt;40 à 60% = 2 Pts</v>
      </c>
      <c r="G100" s="1"/>
      <c r="H100" s="6" t="s">
        <v>59</v>
      </c>
      <c r="I100" s="7">
        <v>20</v>
      </c>
      <c r="J100" s="6">
        <v>40</v>
      </c>
      <c r="K100" s="6">
        <v>60</v>
      </c>
      <c r="L100" s="6">
        <v>80</v>
      </c>
      <c r="N100" s="17"/>
      <c r="O100" s="72" t="s">
        <v>23</v>
      </c>
      <c r="P100" s="1" t="s">
        <v>24</v>
      </c>
    </row>
    <row r="101" spans="1:16" x14ac:dyDescent="0.3">
      <c r="A101" s="14"/>
      <c r="B101" s="34" t="e">
        <f>+C100/vitic*100</f>
        <v>#DIV/0!</v>
      </c>
      <c r="E101" s="42" t="e">
        <f>+IF(B101&gt;L100,L101,IF(B101&gt;K100,K101,IF(B101&gt;J100,J101,IF(B101&gt;I100,I101,0))))</f>
        <v>#DIV/0!</v>
      </c>
      <c r="F101" s="2" t="str">
        <f>+"&gt;"&amp;K100&amp;" à "&amp;L100&amp;H100&amp;" = "&amp;K101&amp;" Pts; &gt;"&amp;L100&amp;H100&amp;" = "&amp;L101&amp;" Pts"</f>
        <v>&gt;60 à 80% = 3 Pts; &gt;80% = 4 Pts</v>
      </c>
      <c r="G101" s="2" t="str">
        <f>"&gt;"&amp;I100 &amp; H100</f>
        <v>&gt;20%</v>
      </c>
      <c r="H101" s="6" t="s">
        <v>76</v>
      </c>
      <c r="I101" s="49">
        <v>1</v>
      </c>
      <c r="J101" s="13">
        <v>2</v>
      </c>
      <c r="K101" s="13">
        <v>3</v>
      </c>
      <c r="L101" s="13">
        <v>4</v>
      </c>
      <c r="M101" s="13"/>
      <c r="N101" s="17">
        <f>+I101</f>
        <v>1</v>
      </c>
    </row>
    <row r="102" spans="1:16" ht="4.5" customHeight="1" x14ac:dyDescent="0.25">
      <c r="A102" s="14"/>
      <c r="B102" s="29"/>
      <c r="E102" s="42"/>
      <c r="J102" s="7"/>
      <c r="N102" s="17"/>
    </row>
    <row r="103" spans="1:16" ht="16.5" customHeight="1" x14ac:dyDescent="0.25">
      <c r="A103" s="14" t="s">
        <v>96</v>
      </c>
      <c r="B103" s="26" t="s">
        <v>188</v>
      </c>
      <c r="C103" s="27"/>
      <c r="D103" s="1" t="s">
        <v>14</v>
      </c>
      <c r="F103" s="1"/>
      <c r="G103" s="1"/>
      <c r="H103" s="6" t="s">
        <v>59</v>
      </c>
      <c r="I103" s="7">
        <v>60</v>
      </c>
      <c r="N103" s="17"/>
      <c r="O103" s="72" t="s">
        <v>23</v>
      </c>
      <c r="P103" s="1" t="s">
        <v>24</v>
      </c>
    </row>
    <row r="104" spans="1:16" x14ac:dyDescent="0.3">
      <c r="A104" s="14"/>
      <c r="B104" s="84" t="e">
        <f>+C103/vitic*100</f>
        <v>#DIV/0!</v>
      </c>
      <c r="E104" s="42" t="e">
        <f>+IF(B104&gt;I103,I104,0)</f>
        <v>#DIV/0!</v>
      </c>
      <c r="F104" s="2" t="str">
        <f>+"&gt;"&amp;I103&amp;H103&amp;" = "&amp;I104&amp;" Pt"</f>
        <v>&gt;60% = 0,5 Pt</v>
      </c>
      <c r="G104" s="2" t="str">
        <f>"&gt;"&amp;I103 &amp; H103</f>
        <v>&gt;60%</v>
      </c>
      <c r="H104" s="6" t="s">
        <v>76</v>
      </c>
      <c r="I104" s="49">
        <v>0.5</v>
      </c>
      <c r="J104" s="13"/>
      <c r="K104" s="13"/>
      <c r="L104" s="13"/>
      <c r="M104" s="13"/>
      <c r="N104" s="17">
        <f>+I104</f>
        <v>0.5</v>
      </c>
      <c r="O104" s="74"/>
    </row>
    <row r="105" spans="1:16" x14ac:dyDescent="0.25">
      <c r="A105" s="14"/>
      <c r="B105" s="29"/>
      <c r="E105" s="42"/>
      <c r="J105" s="7"/>
      <c r="N105" s="17"/>
    </row>
    <row r="106" spans="1:16" ht="18" x14ac:dyDescent="0.25">
      <c r="A106" s="46" t="s">
        <v>189</v>
      </c>
      <c r="B106" s="5"/>
      <c r="E106" s="42"/>
      <c r="N106" s="17"/>
    </row>
    <row r="107" spans="1:16" ht="4.5" customHeight="1" x14ac:dyDescent="0.25">
      <c r="B107" s="5"/>
      <c r="E107" s="42"/>
      <c r="N107" s="17"/>
    </row>
    <row r="108" spans="1:16" x14ac:dyDescent="0.25">
      <c r="A108" s="14" t="s">
        <v>99</v>
      </c>
      <c r="B108" s="26" t="s">
        <v>190</v>
      </c>
      <c r="C108" s="27"/>
      <c r="D108" s="1" t="s">
        <v>14</v>
      </c>
      <c r="E108" s="42"/>
      <c r="F108" s="2" t="str">
        <f>+"&gt;"&amp;I108&amp;" à "&amp;J108&amp;H108&amp;" = "&amp;I109&amp;" Pt; &gt;"&amp;J108&amp;" à "&amp;K108&amp;H108&amp;" = "&amp;J109&amp;" Pts"</f>
        <v>&gt;20 à 40% = 1 Pt; &gt;40 à 60% = 1,5 Pts</v>
      </c>
      <c r="G108" s="2" t="str">
        <f>"&gt;"&amp;J108 &amp; H108</f>
        <v>&gt;40%</v>
      </c>
      <c r="H108" s="6" t="s">
        <v>59</v>
      </c>
      <c r="I108" s="6">
        <v>20</v>
      </c>
      <c r="J108" s="7">
        <v>40</v>
      </c>
      <c r="K108" s="6">
        <v>60</v>
      </c>
      <c r="L108" s="6">
        <v>80</v>
      </c>
      <c r="N108" s="17"/>
      <c r="O108" s="72" t="s">
        <v>23</v>
      </c>
      <c r="P108" s="1" t="s">
        <v>24</v>
      </c>
    </row>
    <row r="109" spans="1:16" x14ac:dyDescent="0.3">
      <c r="A109" s="14"/>
      <c r="B109" s="34" t="e">
        <f>+C108/vitic*100</f>
        <v>#DIV/0!</v>
      </c>
      <c r="E109" s="42" t="e">
        <f>+IF(B109&gt;L108,L109,IF(B109&gt;K108,K109,IF(B109&gt;J108,J109,IF(B109&gt;I108,I109,0))))</f>
        <v>#DIV/0!</v>
      </c>
      <c r="F109" s="2" t="str">
        <f>+"&gt;"&amp;K108&amp;" à "&amp;L108&amp;H108&amp;" = "&amp;K109&amp;" Pts; &gt;"&amp;L108&amp;H108&amp;" = "&amp;L109&amp;" Pts"</f>
        <v>&gt;60 à 80% = 2 Pts; &gt;80% = 2,5 Pts</v>
      </c>
      <c r="H109" s="6" t="s">
        <v>76</v>
      </c>
      <c r="I109" s="13">
        <v>1</v>
      </c>
      <c r="J109" s="37">
        <v>1.5</v>
      </c>
      <c r="K109" s="13">
        <v>2</v>
      </c>
      <c r="L109" s="13">
        <v>2.5</v>
      </c>
      <c r="M109" s="13"/>
      <c r="N109" s="17">
        <f>+J109</f>
        <v>1.5</v>
      </c>
    </row>
    <row r="110" spans="1:16" ht="3.95" customHeight="1" x14ac:dyDescent="0.25">
      <c r="A110" s="14"/>
      <c r="B110" s="34"/>
      <c r="E110" s="42"/>
      <c r="N110" s="17"/>
    </row>
    <row r="111" spans="1:16" x14ac:dyDescent="0.3">
      <c r="A111" s="14" t="s">
        <v>101</v>
      </c>
      <c r="B111" s="34" t="s">
        <v>191</v>
      </c>
      <c r="C111" s="27"/>
      <c r="D111" s="1" t="s">
        <v>14</v>
      </c>
      <c r="E111" s="42"/>
      <c r="H111" s="6" t="s">
        <v>59</v>
      </c>
      <c r="I111" s="13">
        <v>100</v>
      </c>
      <c r="J111" s="37"/>
      <c r="K111" s="13"/>
      <c r="L111" s="13"/>
      <c r="M111" s="13"/>
      <c r="N111" s="17"/>
      <c r="O111" s="72" t="s">
        <v>23</v>
      </c>
      <c r="P111" s="1" t="s">
        <v>24</v>
      </c>
    </row>
    <row r="112" spans="1:16" x14ac:dyDescent="0.3">
      <c r="A112" s="14"/>
      <c r="B112" s="34" t="e">
        <f>+C111/vitic*100</f>
        <v>#DIV/0!</v>
      </c>
      <c r="E112" s="42" t="e">
        <f>+IF(B112=I111,I112,0)</f>
        <v>#DIV/0!</v>
      </c>
      <c r="F112" s="2" t="str">
        <f>+""&amp;I111&amp;H111&amp;" = "&amp;I112&amp;" Pt"</f>
        <v>100% = 1 Pt</v>
      </c>
      <c r="H112" s="6" t="s">
        <v>76</v>
      </c>
      <c r="I112" s="13">
        <v>1</v>
      </c>
      <c r="J112" s="37"/>
      <c r="K112" s="13"/>
      <c r="L112" s="13"/>
      <c r="M112" s="13"/>
      <c r="N112" s="17">
        <v>0</v>
      </c>
    </row>
    <row r="113" spans="1:16" ht="4.5" customHeight="1" x14ac:dyDescent="0.25">
      <c r="A113" s="14"/>
      <c r="B113" s="26"/>
      <c r="N113" s="18"/>
    </row>
    <row r="114" spans="1:16" ht="49.5" x14ac:dyDescent="0.3">
      <c r="A114" s="14" t="s">
        <v>103</v>
      </c>
      <c r="B114" s="26" t="s">
        <v>192</v>
      </c>
      <c r="C114" s="27"/>
      <c r="D114" s="1" t="s">
        <v>14</v>
      </c>
      <c r="E114" s="42"/>
      <c r="F114" s="54" t="str">
        <f>+"&gt;"&amp;I114&amp;" à "&amp;J114&amp;H114&amp;" = "&amp;I115&amp;" Pt; &gt;"&amp;J114&amp;" à "&amp;K114&amp;H114&amp;" = "&amp;J115&amp;" Pts"</f>
        <v>&gt;20 à 40% = 1 Pt; &gt;40 à 60% = 1,5 Pts</v>
      </c>
      <c r="G114" s="54" t="str">
        <f>"&gt;" &amp;J114&amp; H114</f>
        <v>&gt;40%</v>
      </c>
      <c r="H114" s="19" t="s">
        <v>59</v>
      </c>
      <c r="I114" s="19">
        <v>20</v>
      </c>
      <c r="J114" s="20">
        <v>40</v>
      </c>
      <c r="K114" s="19">
        <v>60</v>
      </c>
      <c r="L114" s="19">
        <v>80</v>
      </c>
      <c r="M114" s="19"/>
      <c r="N114" s="51"/>
      <c r="O114" s="72" t="s">
        <v>23</v>
      </c>
      <c r="P114" s="1" t="s">
        <v>24</v>
      </c>
    </row>
    <row r="115" spans="1:16" x14ac:dyDescent="0.3">
      <c r="A115" s="14"/>
      <c r="B115" s="34" t="e">
        <f>+C114/vitic*100</f>
        <v>#DIV/0!</v>
      </c>
      <c r="E115" s="43" t="e">
        <f>+IF(B115&gt;L114,L115,IF(B115&gt;K114,K115,IF(B115&gt;J114,J115,IF(B115&gt;I114,I115,0))))</f>
        <v>#DIV/0!</v>
      </c>
      <c r="F115" s="2" t="str">
        <f>+"&gt;"&amp;K114&amp;" à "&amp;L114&amp;H114&amp;" = "&amp;K115&amp;" Pts; &gt;"&amp;L114&amp;H114&amp;" = "&amp;L115&amp;" Pts"</f>
        <v>&gt;60 à 80% = 2 Pts; &gt;80% = 2,5 Pts</v>
      </c>
      <c r="H115" s="6" t="s">
        <v>76</v>
      </c>
      <c r="I115" s="13">
        <v>1</v>
      </c>
      <c r="J115" s="37">
        <v>1.5</v>
      </c>
      <c r="K115" s="13">
        <v>2</v>
      </c>
      <c r="L115" s="13">
        <v>2.5</v>
      </c>
      <c r="M115" s="13"/>
      <c r="N115" s="17">
        <f>+J115</f>
        <v>1.5</v>
      </c>
    </row>
    <row r="116" spans="1:16" ht="4.5" customHeight="1" x14ac:dyDescent="0.25">
      <c r="A116" s="14"/>
      <c r="B116" s="26"/>
      <c r="E116" s="43"/>
      <c r="N116" s="18"/>
    </row>
    <row r="117" spans="1:16" ht="33" x14ac:dyDescent="0.3">
      <c r="A117" s="14" t="s">
        <v>105</v>
      </c>
      <c r="B117" s="26" t="s">
        <v>193</v>
      </c>
      <c r="C117" s="27"/>
      <c r="D117" s="1" t="s">
        <v>14</v>
      </c>
      <c r="E117" s="43"/>
      <c r="F117" s="54" t="str">
        <f>+"&gt;"&amp;I117&amp;" à "&amp;J117&amp;H117&amp;" = "&amp;I118&amp;" Pts; &gt;"&amp;J117&amp;" à "&amp;K117&amp;H117&amp;" = "&amp;J118&amp;" Pts"</f>
        <v>&gt;20 à 40% = 1,5 Pts; &gt;40 à 60% = 2 Pts</v>
      </c>
      <c r="G117" s="54"/>
      <c r="H117" s="19" t="s">
        <v>59</v>
      </c>
      <c r="I117" s="19">
        <v>20</v>
      </c>
      <c r="J117" s="19">
        <v>40</v>
      </c>
      <c r="K117" s="19">
        <v>60</v>
      </c>
      <c r="L117" s="19">
        <v>80</v>
      </c>
      <c r="M117" s="19"/>
      <c r="N117" s="51"/>
      <c r="O117" s="72" t="s">
        <v>23</v>
      </c>
      <c r="P117" s="1" t="s">
        <v>24</v>
      </c>
    </row>
    <row r="118" spans="1:16" x14ac:dyDescent="0.3">
      <c r="A118" s="14"/>
      <c r="B118" s="34" t="e">
        <f>+C117/vitic*100</f>
        <v>#DIV/0!</v>
      </c>
      <c r="E118" s="43" t="e">
        <f>+IF(B118&gt;L117,L118,IF(B118&gt;K117,K118,IF(B118&gt;J117,J118,IF(B118&gt;I117,I118,0))))</f>
        <v>#DIV/0!</v>
      </c>
      <c r="F118" s="2" t="str">
        <f>+"&gt;"&amp;K117&amp;" à "&amp;L117&amp;H117&amp;" = "&amp;K118&amp;" Pts; &gt;"&amp;L117&amp;H117&amp;" = "&amp;L118&amp;" Pts"</f>
        <v>&gt;60 à 80% = 2,5 Pts; &gt;80% = 3 Pts</v>
      </c>
      <c r="H118" s="6" t="s">
        <v>76</v>
      </c>
      <c r="I118" s="13">
        <v>1.5</v>
      </c>
      <c r="J118" s="13">
        <v>2</v>
      </c>
      <c r="K118" s="13">
        <v>2.5</v>
      </c>
      <c r="L118" s="13">
        <v>3</v>
      </c>
      <c r="M118" s="13"/>
      <c r="N118" s="17">
        <v>0</v>
      </c>
    </row>
    <row r="119" spans="1:16" ht="4.5" customHeight="1" x14ac:dyDescent="0.25">
      <c r="A119" s="14"/>
      <c r="B119" s="29"/>
      <c r="E119" s="42"/>
      <c r="N119" s="17"/>
    </row>
    <row r="120" spans="1:16" x14ac:dyDescent="0.25">
      <c r="A120" s="14"/>
      <c r="B120" s="29" t="s">
        <v>194</v>
      </c>
      <c r="E120" s="42" t="e">
        <f>+MAX(E115,E118)</f>
        <v>#DIV/0!</v>
      </c>
      <c r="N120" s="17"/>
    </row>
    <row r="121" spans="1:16" ht="4.5" customHeight="1" x14ac:dyDescent="0.25">
      <c r="A121" s="14"/>
      <c r="B121" s="29"/>
      <c r="E121" s="42"/>
      <c r="J121" s="7"/>
      <c r="N121" s="17"/>
    </row>
    <row r="122" spans="1:16" x14ac:dyDescent="0.25">
      <c r="A122" s="14" t="s">
        <v>108</v>
      </c>
      <c r="B122" s="26" t="s">
        <v>195</v>
      </c>
      <c r="C122" s="27"/>
      <c r="D122" s="1" t="s">
        <v>14</v>
      </c>
      <c r="E122" s="42"/>
      <c r="F122" s="2" t="str">
        <f>+"&gt;"&amp;I122&amp;" à "&amp;J122&amp;H122&amp;" = "&amp;I123&amp;" Pt; &gt;"&amp;J122&amp;" à "&amp;K122&amp;H122&amp;" = "&amp;J123&amp;" Pts"</f>
        <v>&gt;2 à 5% = 0,5 Pt; &gt;5 à 10% = 1 Pts</v>
      </c>
      <c r="G122" s="2" t="str">
        <f>"&gt;"&amp;I122 &amp; H122</f>
        <v>&gt;2%</v>
      </c>
      <c r="H122" s="6" t="s">
        <v>59</v>
      </c>
      <c r="I122" s="7">
        <v>2</v>
      </c>
      <c r="J122" s="6">
        <v>5</v>
      </c>
      <c r="K122" s="6">
        <v>10</v>
      </c>
      <c r="O122" s="72" t="s">
        <v>23</v>
      </c>
      <c r="P122" s="1" t="s">
        <v>24</v>
      </c>
    </row>
    <row r="123" spans="1:16" x14ac:dyDescent="0.3">
      <c r="A123" s="14"/>
      <c r="B123" s="34" t="e">
        <f>+C122/vitic*100</f>
        <v>#DIV/0!</v>
      </c>
      <c r="E123" s="42" t="e">
        <f>+IF(B123&gt;K122,K123,IF(B123&gt;J122,J123,IF(B123&gt;I122,I123,0)))</f>
        <v>#DIV/0!</v>
      </c>
      <c r="F123" s="2" t="str">
        <f>+"&gt;"&amp;K122&amp;H122&amp;" = "&amp;K123&amp;" Pts"</f>
        <v>&gt;10% = 2 Pts</v>
      </c>
      <c r="H123" s="6" t="s">
        <v>76</v>
      </c>
      <c r="I123" s="37">
        <v>0.5</v>
      </c>
      <c r="J123" s="13">
        <v>1</v>
      </c>
      <c r="K123" s="13">
        <v>2</v>
      </c>
      <c r="N123" s="17">
        <f>+I123</f>
        <v>0.5</v>
      </c>
      <c r="O123" s="75"/>
    </row>
    <row r="124" spans="1:16" ht="3.95" customHeight="1" x14ac:dyDescent="0.25">
      <c r="A124" s="14"/>
      <c r="B124" s="34"/>
      <c r="E124" s="42"/>
      <c r="N124" s="17"/>
    </row>
    <row r="125" spans="1:16" x14ac:dyDescent="0.25">
      <c r="A125" s="14" t="s">
        <v>110</v>
      </c>
      <c r="B125" s="34" t="s">
        <v>196</v>
      </c>
      <c r="C125" s="27"/>
      <c r="D125" s="1" t="s">
        <v>14</v>
      </c>
      <c r="E125" s="42"/>
      <c r="H125" s="6" t="s">
        <v>59</v>
      </c>
      <c r="I125" s="7">
        <v>66.7</v>
      </c>
      <c r="N125" s="17"/>
      <c r="O125" s="72" t="s">
        <v>23</v>
      </c>
      <c r="P125" s="1" t="s">
        <v>24</v>
      </c>
    </row>
    <row r="126" spans="1:16" x14ac:dyDescent="0.3">
      <c r="A126" s="14"/>
      <c r="B126" s="34" t="e">
        <f>+C125/vitic*100</f>
        <v>#DIV/0!</v>
      </c>
      <c r="E126" s="42" t="e">
        <f>+IF(B126&gt;=I125,I126,0)</f>
        <v>#DIV/0!</v>
      </c>
      <c r="F126" s="2" t="str">
        <f>+""&amp;I125&amp;H125&amp;" = "&amp;I126&amp;" Pt"</f>
        <v>66,7% = 1 Pt</v>
      </c>
      <c r="H126" s="6" t="s">
        <v>76</v>
      </c>
      <c r="I126" s="37">
        <v>1</v>
      </c>
      <c r="N126" s="17">
        <v>1</v>
      </c>
    </row>
    <row r="127" spans="1:16" x14ac:dyDescent="0.25">
      <c r="E127" s="42"/>
      <c r="N127" s="17"/>
    </row>
    <row r="128" spans="1:16" ht="18" x14ac:dyDescent="0.25">
      <c r="A128" s="3" t="s">
        <v>197</v>
      </c>
      <c r="N128" s="17"/>
    </row>
    <row r="129" spans="1:15" ht="4.5" customHeight="1" x14ac:dyDescent="0.25">
      <c r="A129" s="3"/>
      <c r="N129" s="17"/>
    </row>
    <row r="130" spans="1:15" x14ac:dyDescent="0.25">
      <c r="A130" s="14" t="s">
        <v>113</v>
      </c>
      <c r="B130" s="26" t="s">
        <v>198</v>
      </c>
      <c r="C130" s="24" t="s">
        <v>139</v>
      </c>
      <c r="E130" s="42">
        <f>+IF(C130="oui",I130,0)</f>
        <v>0</v>
      </c>
      <c r="F130" s="2" t="str">
        <f>+"oui"&amp;" = "&amp;I130&amp;" Pt"</f>
        <v>oui = 0,5 Pt</v>
      </c>
      <c r="H130" s="6" t="s">
        <v>76</v>
      </c>
      <c r="I130" s="21">
        <v>0.5</v>
      </c>
      <c r="N130" s="17">
        <v>0</v>
      </c>
    </row>
    <row r="131" spans="1:15" ht="4.5" customHeight="1" x14ac:dyDescent="0.25">
      <c r="A131" s="14"/>
      <c r="B131" s="32"/>
    </row>
    <row r="132" spans="1:15" x14ac:dyDescent="0.25">
      <c r="A132" s="14" t="s">
        <v>116</v>
      </c>
      <c r="B132" s="26" t="s">
        <v>199</v>
      </c>
      <c r="C132" s="24"/>
      <c r="D132" s="1" t="s">
        <v>200</v>
      </c>
      <c r="N132" s="17">
        <v>0</v>
      </c>
      <c r="O132" s="72" t="s">
        <v>119</v>
      </c>
    </row>
    <row r="133" spans="1:15" x14ac:dyDescent="0.25">
      <c r="A133" s="14"/>
      <c r="B133" s="26" t="s">
        <v>201</v>
      </c>
    </row>
    <row r="134" spans="1:15" ht="4.5" customHeight="1" x14ac:dyDescent="0.25">
      <c r="A134" s="3"/>
      <c r="N134" s="17"/>
    </row>
    <row r="135" spans="1:15" ht="33" x14ac:dyDescent="0.25">
      <c r="A135" s="14" t="s">
        <v>121</v>
      </c>
      <c r="B135" s="26" t="s">
        <v>202</v>
      </c>
      <c r="C135" s="24" t="s">
        <v>139</v>
      </c>
      <c r="E135" s="42">
        <f>+IF(C135="oui",I135,0)</f>
        <v>0</v>
      </c>
      <c r="F135" s="2" t="str">
        <f>+"oui"&amp;" = "&amp;I135&amp;" Pt"</f>
        <v>oui = 1 Pt</v>
      </c>
      <c r="H135" s="6" t="s">
        <v>76</v>
      </c>
      <c r="I135" s="21">
        <v>1</v>
      </c>
      <c r="N135" s="17">
        <v>0</v>
      </c>
    </row>
    <row r="136" spans="1:15" ht="4.5" customHeight="1" x14ac:dyDescent="0.25"/>
    <row r="137" spans="1:15" s="61" customFormat="1" ht="18" x14ac:dyDescent="0.25">
      <c r="A137" s="56" t="s">
        <v>203</v>
      </c>
      <c r="B137" s="57"/>
      <c r="C137" s="56"/>
      <c r="D137" s="56"/>
      <c r="E137" s="58" t="e">
        <f>IF(SUM(C25="oui",C29="oui",C33="oui",C37="oui",C39="oui",C41="oui",C43="oui",C45="oui",C47="oui",C49="oui",C53="oui",)=11,"Exigences de base remplies","Attention, toutes les exigences de base ne sont pas remplies")&amp;"; "&amp;H137&amp;" points"</f>
        <v>#DIV/0!</v>
      </c>
      <c r="F137" s="57"/>
      <c r="G137" s="56"/>
      <c r="H137" s="6" t="e">
        <f>SUM(E59:E112,E120:E131,C132,E135)</f>
        <v>#DIV/0!</v>
      </c>
      <c r="I137" s="6"/>
      <c r="J137" s="6"/>
      <c r="K137" s="6"/>
      <c r="L137" s="6"/>
      <c r="M137" s="6"/>
      <c r="N137" s="17">
        <f>SUM(N58:N136)</f>
        <v>17.5</v>
      </c>
      <c r="O137" s="72" t="s">
        <v>124</v>
      </c>
    </row>
  </sheetData>
  <sheetProtection selectLockedCells="1"/>
  <mergeCells count="2">
    <mergeCell ref="B55:F55"/>
    <mergeCell ref="H1:P1"/>
  </mergeCells>
  <phoneticPr fontId="19" type="noConversion"/>
  <conditionalFormatting sqref="B56">
    <cfRule type="expression" dxfId="3" priority="16">
      <formula>$N$55=1</formula>
    </cfRule>
    <cfRule type="expression" dxfId="2" priority="17">
      <formula>"G24=1"</formula>
    </cfRule>
    <cfRule type="iconSet" priority="18">
      <iconSet iconSet="3Arrows">
        <cfvo type="percent" val="0"/>
        <cfvo type="percent" val="33"/>
        <cfvo type="percent" val="67"/>
      </iconSet>
    </cfRule>
  </conditionalFormatting>
  <conditionalFormatting sqref="B55:G55 G56 N56">
    <cfRule type="expression" dxfId="1" priority="7">
      <formula>$I$55=1</formula>
    </cfRule>
    <cfRule type="expression" dxfId="0" priority="8">
      <formula>"G24=1"</formula>
    </cfRule>
  </conditionalFormatting>
  <conditionalFormatting sqref="N56 B55:G55 G56">
    <cfRule type="iconSet" priority="9">
      <iconSet iconSet="3Arrows">
        <cfvo type="percent" val="0"/>
        <cfvo type="percent" val="33"/>
        <cfvo type="percent" val="67"/>
      </iconSet>
    </cfRule>
  </conditionalFormatting>
  <dataValidations count="7">
    <dataValidation type="list" allowBlank="1" showInputMessage="1" showErrorMessage="1" errorTitle="Falsche Eingabe" error="bitte ja oder nein angeben_x000a_" sqref="C49:C50 C39 C19 C41 C43 C17 C53 C130 C24 C135" xr:uid="{0529493B-8B23-4106-B66B-1E1A5A72F918}">
      <formula1>"oui, non"</formula1>
    </dataValidation>
    <dataValidation type="whole" allowBlank="1" showInputMessage="1" showErrorMessage="1" errorTitle="ungültiger Wert" error="Bitte geben Sie eine Zahl ein" sqref="C97 C91 C89" xr:uid="{159FA449-C920-4B28-91F7-AE083A4F28A6}">
      <formula1>0</formula1>
      <formula2>999999</formula2>
    </dataValidation>
    <dataValidation type="decimal" allowBlank="1" showInputMessage="1" showErrorMessage="1" errorTitle="ungültiger Wert" error="Max. 3 points" promptTitle="Wert gemäss Gutachter!" sqref="C132" xr:uid="{ACED6B96-9512-4B10-BD58-03E21F91AA73}">
      <formula1>0</formula1>
      <formula2>3</formula2>
    </dataValidation>
    <dataValidation type="decimal" allowBlank="1" showInputMessage="1" showErrorMessage="1" errorTitle="ungültiger Wert" error="La valeur ne peut pas dépasser la surface viticole" promptTitle="Anzahl ha" sqref="C51 C122 C117 C114 C108 C103 C100 C94 C78 C60 C63 C67:C75 C82:C85 C111 C125" xr:uid="{95275A20-2166-4796-A35D-0726B245AE23}">
      <formula1>0</formula1>
      <formula2>C$15</formula2>
    </dataValidation>
    <dataValidation type="decimal" allowBlank="1" showInputMessage="1" showErrorMessage="1" errorTitle="ungültiger Wert" error="La valeur doit être au moins celle inscrite sous A4 et au plus celle de la surface viticole" promptTitle="Anzahl ha" sqref="C24" xr:uid="{D796603D-38AA-45C8-8310-CB6C91F0BEBB}">
      <formula1>#REF!</formula1>
      <formula2>C$15</formula2>
    </dataValidation>
    <dataValidation type="decimal" allowBlank="1" showInputMessage="1" showErrorMessage="1" errorTitle="ungültiger Wert" error="La valeur ne peut pas dépasser la surface viticole" promptTitle="Anzahl ha" sqref="B75 B85" xr:uid="{E9E47FEB-6186-490C-BECE-C5C3CF2AB87B}">
      <formula1>0</formula1>
      <formula2>C$15</formula2>
    </dataValidation>
    <dataValidation type="decimal" allowBlank="1" showInputMessage="1" showErrorMessage="1" errorTitle="valeur non admise" error="La valeur doit être comprise entre 0 et la surface viticole" promptTitle="Anzahl ha" sqref="C23 C27 C31 C35" xr:uid="{F0D06DF9-63CE-41C4-A5E2-A7FDBC906152}">
      <formula1>0</formula1>
      <formula2>C$15</formula2>
    </dataValidation>
  </dataValidations>
  <pageMargins left="0.23622047244094491" right="0.23622047244094491" top="0.74803149606299213" bottom="0.74803149606299213" header="0.31496062992125984" footer="0.31496062992125984"/>
  <pageSetup paperSize="9" scale="70" fitToHeight="2" orientation="portrait" r:id="rId1"/>
  <rowBreaks count="1" manualBreakCount="1">
    <brk id="56" max="5" man="1"/>
  </rowBreaks>
  <ignoredErrors>
    <ignoredError sqref="B7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de2e10-ee86-4bfc-912b-c9858ce9334b">
      <Terms xmlns="http://schemas.microsoft.com/office/infopath/2007/PartnerControls"/>
    </lcf76f155ced4ddcb4097134ff3c332f>
    <TaxCatchAll xmlns="ff08531f-ab27-4e6c-bfcc-422da4b8b47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1F190022C1C84A831B3A1F3D0D4B23" ma:contentTypeVersion="19" ma:contentTypeDescription="Ein neues Dokument erstellen." ma:contentTypeScope="" ma:versionID="dca1f700704a3297bc271f410f536c74">
  <xsd:schema xmlns:xsd="http://www.w3.org/2001/XMLSchema" xmlns:xs="http://www.w3.org/2001/XMLSchema" xmlns:p="http://schemas.microsoft.com/office/2006/metadata/properties" xmlns:ns2="64de2e10-ee86-4bfc-912b-c9858ce9334b" xmlns:ns3="ff08531f-ab27-4e6c-bfcc-422da4b8b471" targetNamespace="http://schemas.microsoft.com/office/2006/metadata/properties" ma:root="true" ma:fieldsID="40da4a7d88c67d22d4e513d54593c6b6" ns2:_="" ns3:_="">
    <xsd:import namespace="64de2e10-ee86-4bfc-912b-c9858ce9334b"/>
    <xsd:import namespace="ff08531f-ab27-4e6c-bfcc-422da4b8b4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e2e10-ee86-4bfc-912b-c9858ce9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c029d8f7-f5c7-4d0d-8363-585babc5a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531f-ab27-4e6c-bfcc-422da4b8b47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cc41956-b76c-4ef7-8b3d-1883e8cd3f42}" ma:internalName="TaxCatchAll" ma:showField="CatchAllData" ma:web="ff08531f-ab27-4e6c-bfcc-422da4b8b4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1ADA8-5302-454A-8637-7B5B61A23C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763CEE-E8E8-4B99-8BA2-661FD3B1921E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ff08531f-ab27-4e6c-bfcc-422da4b8b471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64de2e10-ee86-4bfc-912b-c9858ce9334b"/>
  </ds:schemaRefs>
</ds:datastoreItem>
</file>

<file path=customXml/itemProps3.xml><?xml version="1.0" encoding="utf-8"?>
<ds:datastoreItem xmlns:ds="http://schemas.openxmlformats.org/officeDocument/2006/customXml" ds:itemID="{08E42376-E6D6-483A-B296-CB8053E340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e2e10-ee86-4bfc-912b-c9858ce9334b"/>
    <ds:schemaRef ds:uri="ff08531f-ab27-4e6c-bfcc-422da4b8b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17</vt:i4>
      </vt:variant>
    </vt:vector>
  </HeadingPairs>
  <TitlesOfParts>
    <vt:vector size="19" baseType="lpstr">
      <vt:lpstr>Punktesystem</vt:lpstr>
      <vt:lpstr>Systeme à points</vt:lpstr>
      <vt:lpstr>andereQI</vt:lpstr>
      <vt:lpstr>andereQII</vt:lpstr>
      <vt:lpstr>autresQI</vt:lpstr>
      <vt:lpstr>autresQII</vt:lpstr>
      <vt:lpstr>BFF_ohne_Beiträge</vt:lpstr>
      <vt:lpstr>haiesQI</vt:lpstr>
      <vt:lpstr>haiesQII</vt:lpstr>
      <vt:lpstr>HeckenQI</vt:lpstr>
      <vt:lpstr>HeckenQII</vt:lpstr>
      <vt:lpstr>RebenQII</vt:lpstr>
      <vt:lpstr>Rebfläche</vt:lpstr>
      <vt:lpstr>SPB_sans_contrib</vt:lpstr>
      <vt:lpstr>SVBNQII</vt:lpstr>
      <vt:lpstr>Punktesystem!vitic</vt:lpstr>
      <vt:lpstr>'Systeme à points'!vitic</vt:lpstr>
      <vt:lpstr>Punktesystem!Zone_d_impression</vt:lpstr>
      <vt:lpstr>'Systeme à points'!Zone_d_impression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2026-02-17T13:03:26Z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0x0101004B1F190022C1C84A831B3A1F3D0D4B23</vt:lpwstr>
  </property>
  <property fmtid="{D5CDD505-2E9C-101B-9397-08002B2CF9AE}" pid="3" name="MediaServiceImageTags">
    <vt:lpwstr/>
  </property>
</Properties>
</file>