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5" yWindow="-15" windowWidth="19425" windowHeight="7515" tabRatio="764"/>
  </bookViews>
  <sheets>
    <sheet name="Punktesystem" sheetId="1" r:id="rId1"/>
    <sheet name="Systeme de points" sheetId="2" state="hidden" r:id="rId2"/>
  </sheets>
  <definedNames>
    <definedName name="_xlnm._FilterDatabase" localSheetId="1" hidden="1">'Systeme de points'!$N$1:$N$127</definedName>
    <definedName name="andereQI">Punktesystem!$C$73</definedName>
    <definedName name="andereQII">Punktesystem!$C$65</definedName>
    <definedName name="autresQI">'Systeme de points'!$C$73</definedName>
    <definedName name="autresQII">'Systeme de points'!$C$65</definedName>
    <definedName name="biodivQII">'Systeme de points'!$C$56</definedName>
    <definedName name="_xlnm.Print_Area" localSheetId="0">Punktesystem!$A$1:$F$127</definedName>
    <definedName name="_xlnm.Print_Area" localSheetId="1">'Systeme de points'!$A$1:$F$127</definedName>
    <definedName name="haiesQI">'Systeme de points'!$C$69</definedName>
    <definedName name="haiesQII">'Systeme de points'!$C$61</definedName>
    <definedName name="HeckenQI">Punktesystem!$C$69</definedName>
    <definedName name="HeckenQII">Punktesystem!$C$61</definedName>
    <definedName name="RebenQII">Punktesystem!$C$56</definedName>
    <definedName name="Rebfläche">Punktesystem!$C$15</definedName>
    <definedName name="vitic" localSheetId="1">'Systeme de points'!$C$15</definedName>
  </definedNames>
  <calcPr calcId="162913"/>
</workbook>
</file>

<file path=xl/calcChain.xml><?xml version="1.0" encoding="utf-8"?>
<calcChain xmlns="http://schemas.openxmlformats.org/spreadsheetml/2006/main">
  <c r="B52" i="1" l="1"/>
  <c r="E127" i="1"/>
  <c r="B58" i="1" l="1"/>
  <c r="E121" i="1" l="1"/>
  <c r="E121" i="2"/>
  <c r="E17" i="2"/>
  <c r="E43" i="2"/>
  <c r="E17" i="1"/>
  <c r="F88" i="2" l="1"/>
  <c r="F87" i="2"/>
  <c r="M87" i="2"/>
  <c r="G87" i="2"/>
  <c r="E77" i="1"/>
  <c r="B91" i="2" l="1"/>
  <c r="E91" i="2" s="1"/>
  <c r="H77" i="2"/>
  <c r="N1" i="1"/>
  <c r="F77" i="2" l="1"/>
  <c r="G77" i="2"/>
  <c r="M78" i="1"/>
  <c r="E43" i="1"/>
  <c r="B70" i="2"/>
  <c r="E70" i="2" s="1"/>
  <c r="E77" i="2"/>
  <c r="G70" i="1"/>
  <c r="G62" i="1"/>
  <c r="G70" i="2"/>
  <c r="G62" i="2"/>
  <c r="B62" i="2"/>
  <c r="E62" i="2" s="1"/>
  <c r="B62" i="1"/>
  <c r="E62" i="1" s="1"/>
  <c r="N1" i="2" l="1"/>
  <c r="G116" i="2"/>
  <c r="G91" i="2"/>
  <c r="G106" i="2"/>
  <c r="G101" i="2"/>
  <c r="G96" i="2"/>
  <c r="G82" i="2"/>
  <c r="G74" i="2"/>
  <c r="G66" i="2"/>
  <c r="G58" i="2"/>
  <c r="M117" i="2"/>
  <c r="M107" i="2"/>
  <c r="M102" i="2"/>
  <c r="M82" i="2"/>
  <c r="M74" i="2"/>
  <c r="M70" i="2"/>
  <c r="M66" i="2"/>
  <c r="M62" i="2"/>
  <c r="M58" i="2"/>
  <c r="G58" i="1"/>
  <c r="M58" i="1"/>
  <c r="M62" i="1"/>
  <c r="G66" i="1"/>
  <c r="M66" i="1"/>
  <c r="M70" i="1"/>
  <c r="G74" i="1"/>
  <c r="M74" i="1"/>
  <c r="M82" i="1"/>
  <c r="G82" i="1"/>
  <c r="G87" i="1"/>
  <c r="M87" i="1"/>
  <c r="G91" i="1"/>
  <c r="M92" i="1"/>
  <c r="G96" i="1"/>
  <c r="M96" i="1"/>
  <c r="G116" i="1"/>
  <c r="M117" i="1"/>
  <c r="M107" i="1"/>
  <c r="M102" i="1"/>
  <c r="G101" i="1"/>
  <c r="G106" i="1"/>
  <c r="F112" i="1"/>
  <c r="F111" i="1"/>
  <c r="F107" i="1"/>
  <c r="F106" i="1"/>
  <c r="F112" i="2"/>
  <c r="F111" i="2"/>
  <c r="F106" i="2"/>
  <c r="F107" i="2"/>
  <c r="F102" i="1"/>
  <c r="F101" i="1"/>
  <c r="F102" i="2"/>
  <c r="F101" i="2"/>
  <c r="H77" i="1"/>
  <c r="C43" i="2"/>
  <c r="C43" i="1"/>
  <c r="I52" i="1" s="1"/>
  <c r="I52" i="2" l="1"/>
  <c r="F78" i="2"/>
  <c r="F77" i="1"/>
  <c r="G77" i="1"/>
  <c r="F78" i="1"/>
  <c r="B58" i="2"/>
  <c r="E58" i="2" s="1"/>
  <c r="F58" i="2"/>
  <c r="F59" i="2"/>
  <c r="F62" i="2"/>
  <c r="F63" i="2"/>
  <c r="B66" i="2"/>
  <c r="E66" i="2" s="1"/>
  <c r="F66" i="2"/>
  <c r="F67" i="2"/>
  <c r="F70" i="2"/>
  <c r="F71" i="2"/>
  <c r="B74" i="2"/>
  <c r="E74" i="2" s="1"/>
  <c r="F74" i="2"/>
  <c r="F75" i="2"/>
  <c r="B82" i="2"/>
  <c r="E82" i="2" s="1"/>
  <c r="F82" i="2"/>
  <c r="F83" i="2"/>
  <c r="B87" i="2"/>
  <c r="E87" i="2" s="1"/>
  <c r="F91" i="2"/>
  <c r="F92" i="2"/>
  <c r="B95" i="2"/>
  <c r="E95" i="2" s="1"/>
  <c r="F95" i="2"/>
  <c r="F96" i="2"/>
  <c r="B101" i="2"/>
  <c r="E101" i="2" s="1"/>
  <c r="B106" i="2"/>
  <c r="E106" i="2" s="1"/>
  <c r="B111" i="2"/>
  <c r="E111" i="2" s="1"/>
  <c r="B116" i="2"/>
  <c r="E116" i="2" s="1"/>
  <c r="F116" i="2"/>
  <c r="F117" i="2"/>
  <c r="M127" i="2"/>
  <c r="E113" i="2" l="1"/>
  <c r="H127" i="2" s="1"/>
  <c r="E127" i="2" s="1"/>
  <c r="B52" i="2"/>
  <c r="F96" i="1"/>
  <c r="F95" i="1"/>
  <c r="F117" i="1"/>
  <c r="F116" i="1"/>
  <c r="B87" i="1"/>
  <c r="E87" i="1" s="1"/>
  <c r="B91" i="1"/>
  <c r="E91" i="1" s="1"/>
  <c r="B116" i="1" l="1"/>
  <c r="E116" i="1" s="1"/>
  <c r="B111" i="1"/>
  <c r="E111" i="1" s="1"/>
  <c r="B106" i="1"/>
  <c r="E106" i="1" s="1"/>
  <c r="B101" i="1"/>
  <c r="E101" i="1" s="1"/>
  <c r="F88" i="1"/>
  <c r="F87" i="1"/>
  <c r="E113" i="1" l="1"/>
  <c r="B70" i="1"/>
  <c r="E70" i="1" s="1"/>
  <c r="F75" i="1"/>
  <c r="F74" i="1"/>
  <c r="F71" i="1"/>
  <c r="F70" i="1"/>
  <c r="F67" i="1"/>
  <c r="F66" i="1"/>
  <c r="F63" i="1"/>
  <c r="F62" i="1"/>
  <c r="F92" i="1" l="1"/>
  <c r="F91" i="1"/>
  <c r="F83" i="1"/>
  <c r="F82" i="1"/>
  <c r="F59" i="1"/>
  <c r="F58" i="1"/>
  <c r="E58" i="1" l="1"/>
  <c r="B66" i="1"/>
  <c r="E66" i="1" s="1"/>
  <c r="B74" i="1"/>
  <c r="E74" i="1" s="1"/>
  <c r="M127" i="1" l="1"/>
  <c r="B95" i="1" l="1"/>
  <c r="E95" i="1" s="1"/>
  <c r="B82" i="1"/>
  <c r="E82" i="1" s="1"/>
  <c r="H127" i="1" l="1"/>
</calcChain>
</file>

<file path=xl/sharedStrings.xml><?xml version="1.0" encoding="utf-8"?>
<sst xmlns="http://schemas.openxmlformats.org/spreadsheetml/2006/main" count="289" uniqueCount="194">
  <si>
    <t xml:space="preserve">Sistema a punti per la produzione viticola sostenibile – </t>
  </si>
  <si>
    <t>Promozione della biodiversità e tutela delle risorse naturali</t>
  </si>
  <si>
    <t>VERSIONE 18 / 18.05.2021</t>
  </si>
  <si>
    <t>Informazioni di base</t>
  </si>
  <si>
    <t>Requisiti fondamentali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</si>
  <si>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</si>
  <si>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</si>
  <si>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</si>
  <si>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</si>
  <si>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</si>
  <si>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</si>
  <si>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</si>
  <si>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</si>
  <si>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</si>
  <si>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</si>
  <si>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</si>
  <si>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</si>
  <si>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Punti per la promozione della biodiversità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</si>
  <si>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</si>
  <si>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</si>
  <si>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</si>
  <si>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</si>
  <si>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</si>
  <si>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</si>
  <si>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</si>
  <si>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</si>
  <si>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</si>
  <si>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</si>
  <si>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Punti per la produzione che tutela le risorse</t>
  </si>
  <si>
    <t>P1</t>
  </si>
  <si>
    <t>P2a</t>
  </si>
  <si>
    <t>P2b</t>
  </si>
  <si>
    <t>P3</t>
  </si>
  <si>
    <t>Punti per altre misure</t>
  </si>
  <si>
    <t>M1</t>
  </si>
  <si>
    <t xml:space="preserve">M2 </t>
  </si>
  <si>
    <t>Punteggio totale</t>
  </si>
  <si>
    <t>Nome gestore</t>
  </si>
  <si>
    <t>Comune</t>
  </si>
  <si>
    <t>N. IP-SUISSE</t>
  </si>
  <si>
    <t>N. particelle viticole</t>
  </si>
  <si>
    <t>Superficie viticola</t>
  </si>
  <si>
    <t>Superficie viticola che non consente l’uso dei macchinari comunemente utilizzati</t>
  </si>
  <si>
    <t>Al più erbicidi fogliari sotto i ceppi</t>
  </si>
  <si>
    <t xml:space="preserve">Tutte le superfici viticole sono inerbite tra il 31 agosto e 31 marzo e l’uso di erbicidi è vietato </t>
  </si>
  <si>
    <t>Almeno il 50% delle corsie viene inerbito dall’1.4. al 31.8.</t>
  </si>
  <si>
    <t>Gestione alternata delle corsie inerbite (intervallo di 6 settimane per ogni superficie viticola)</t>
  </si>
  <si>
    <t>Nessuna rimozione di vegetazione dalle corsie mediante vapore, corrente elettrica o calore</t>
  </si>
  <si>
    <t>Solo fungicidi ammessi e certificati Vitiswiss</t>
  </si>
  <si>
    <t>Lotta alla tignola della vita solo mediante confusione sessuale</t>
  </si>
  <si>
    <t>Uso di irroratrici con sistema antideriva</t>
  </si>
  <si>
    <t>Almeno 3,5% SPB (di cui al massimo 1% "vigneto con biodiversità naturale2 di livello qualitativo II)</t>
  </si>
  <si>
    <t>Numero minimo di piccole strutture</t>
  </si>
  <si>
    <t>Reti contro i danni causati dagli uccelli, correttamente installate</t>
  </si>
  <si>
    <t>Superfici viticole, SPB e strutture devono essere documentate in uno schizzo</t>
  </si>
  <si>
    <t>Vigneto con biodiversità naturale di livello qualitativo II</t>
  </si>
  <si>
    <t>Siepi SPB di livello qualitativo II</t>
  </si>
  <si>
    <t>Altre SPB di livello qualitativo II</t>
  </si>
  <si>
    <t xml:space="preserve">Siepi SPB di livello qualitativo I </t>
  </si>
  <si>
    <t xml:space="preserve">Altre SPB di livello qualitativo I
</t>
  </si>
  <si>
    <t>Numero di tipi di SPB</t>
  </si>
  <si>
    <t>Muri in pietra a secco</t>
  </si>
  <si>
    <t>Lunghezza dei muri in pietra a secco</t>
  </si>
  <si>
    <t>Superficie non SPB e non viticola con vegetazione ricca di specie e strutture</t>
  </si>
  <si>
    <t>Piccole strutture (interne o esterne alla SPB)</t>
  </si>
  <si>
    <t xml:space="preserve">Superfici con suolo nudo su 1/3 fino a 2/3 della superficie viticola </t>
  </si>
  <si>
    <t>Rinuncia agli erbicidi sotto i ceppi</t>
  </si>
  <si>
    <t>Rinuncia ai fungicidi a particolare potenziale di rischio, riduzione del rame</t>
  </si>
  <si>
    <t>Rinuncia a pesticidi chimico-sintetici, riduzione del rame</t>
  </si>
  <si>
    <t>Valore maggiore tra P2a e P2b</t>
  </si>
  <si>
    <t>Vitigni resistenti ai funghi (PiWi)</t>
  </si>
  <si>
    <t>Piante di vite adattate al sito</t>
  </si>
  <si>
    <t>Partecipazione a progetti di promozione delle specie</t>
  </si>
  <si>
    <t>Punteggio da valutazione in seguito a perizia</t>
  </si>
  <si>
    <t>no</t>
  </si>
  <si>
    <t>ha</t>
  </si>
  <si>
    <t>Tipi</t>
  </si>
  <si>
    <t>m</t>
  </si>
  <si>
    <t>pz.</t>
  </si>
  <si>
    <t>Punti</t>
  </si>
  <si>
    <t>Percentuale superficie viticola calcolata</t>
  </si>
  <si>
    <t>Percentuale SPB calcolata</t>
  </si>
  <si>
    <t>Condizioni per ... punti</t>
  </si>
  <si>
    <t>Sì = 0,5 punti</t>
  </si>
  <si>
    <t>Da perizia</t>
  </si>
  <si>
    <t>Valore target</t>
  </si>
  <si>
    <t>%</t>
  </si>
  <si>
    <t>Punti:</t>
  </si>
  <si>
    <t xml:space="preserve"> m/ha</t>
  </si>
  <si>
    <t xml:space="preserve"> pz./ha</t>
  </si>
  <si>
    <t>Non stampare questa colonna</t>
  </si>
  <si>
    <t>Viti QII max. 1%</t>
  </si>
  <si>
    <t>Valori limite</t>
  </si>
  <si>
    <t>Punti risultanti</t>
  </si>
  <si>
    <t>N1 deve essere 0 prima di salvare</t>
  </si>
  <si>
    <t>Diese Spalten nicht drucken</t>
  </si>
  <si>
    <t>N1 doit être nul avant enregistrement</t>
  </si>
  <si>
    <t xml:space="preserve">Système de points pour une viticulture durable – </t>
  </si>
  <si>
    <t>promotion de la biodiversité et des ressources naturelles </t>
  </si>
  <si>
    <t>VERSION 18 / 18.5.2021</t>
  </si>
  <si>
    <t>Données de base</t>
  </si>
  <si>
    <t>Nom du/de la vigneron/ne</t>
  </si>
  <si>
    <t>Commune</t>
  </si>
  <si>
    <t>N° IP-Suisse</t>
  </si>
  <si>
    <t>Nombre de parcelles viticoles</t>
  </si>
  <si>
    <t>s</t>
  </si>
  <si>
    <t>Surface viticole</t>
  </si>
  <si>
    <t>ha</t>
  </si>
  <si>
    <t xml:space="preserve">Surfaces viticoles dont l'exploitation avec des machines habituelles n'est pas possible </t>
  </si>
  <si>
    <t>proportion de la surface viticole calculée</t>
  </si>
  <si>
    <t>Exigences de base</t>
  </si>
  <si>
    <t>G1</t>
  </si>
  <si>
    <t>Seulement des herbicides foliaires et sous le rang</t>
  </si>
  <si>
    <t>non</t>
  </si>
  <si>
    <t>G2</t>
  </si>
  <si>
    <t>Toutes les surfaces viticoles sont enherbées et l’utilisation d’herbicides est interdite du 31 août au 31 mars</t>
  </si>
  <si>
    <t>G3</t>
  </si>
  <si>
    <t xml:space="preserve">Au moins 50 % des interlignes sont enherbés du 1er avril au 31 août </t>
  </si>
  <si>
    <t>G4</t>
  </si>
  <si>
    <t>Gestion alternée des interlignes enherbés (intervalle de 6 semaines sur la même surface)</t>
  </si>
  <si>
    <t>G5</t>
  </si>
  <si>
    <t>Aucune destruction de végétation avec de la vapeur, des décharges électriques ou de la chaleur dans les interlignes</t>
  </si>
  <si>
    <t>G6</t>
  </si>
  <si>
    <t>Utilisation seulement des fongicides autorisés pour le certificat Vitiswiss</t>
  </si>
  <si>
    <t>G7</t>
  </si>
  <si>
    <t>Lutte contre le ver de la grappe avec la technique de la confusion</t>
  </si>
  <si>
    <t>G8</t>
  </si>
  <si>
    <t>Utilisation de pulvérisateurs antidérives</t>
  </si>
  <si>
    <t>G9</t>
  </si>
  <si>
    <t>Au moins 3,5 % de SPB (dont max. 1 % de surfaces viticoles présentant une biodiversité naturelle du niveau de qualité II)</t>
  </si>
  <si>
    <t>taux de SPB calculé</t>
  </si>
  <si>
    <t>Reben QII nur bis 1 %</t>
  </si>
  <si>
    <t>G10</t>
  </si>
  <si>
    <t>Nombre minimal de petites structures</t>
  </si>
  <si>
    <t>G11</t>
  </si>
  <si>
    <t>Installation conforme des filets de protection contre les oiseaux causant des dégâts</t>
  </si>
  <si>
    <t>G12</t>
  </si>
  <si>
    <t>Les surfaces viticoles, SPB et petites structures sont documentées sur un croquis</t>
  </si>
  <si>
    <t>Points pour la promotion de la biodiversité</t>
  </si>
  <si>
    <t>Grenzwerte</t>
  </si>
  <si>
    <t>Zielwert</t>
  </si>
  <si>
    <t>Points</t>
  </si>
  <si>
    <t>Condition pour … points</t>
  </si>
  <si>
    <t>Valeur cible</t>
  </si>
  <si>
    <t>daraus abgeleitete Punkte</t>
  </si>
  <si>
    <t>B1</t>
  </si>
  <si>
    <t>Surfaces viticoles présentant une biodiversité naturelle de niveau de qualité II</t>
  </si>
  <si>
    <t>%</t>
  </si>
  <si>
    <t>Pkt:</t>
  </si>
  <si>
    <t>B2</t>
  </si>
  <si>
    <t>Haies en SPB de niveau de qualité II</t>
  </si>
  <si>
    <t>B3</t>
  </si>
  <si>
    <t>Autres SPB de niveau de qualité II</t>
  </si>
  <si>
    <t>B4</t>
  </si>
  <si>
    <t>Haies en SPB de niveau de qualité I</t>
  </si>
  <si>
    <t>Pkt.:</t>
  </si>
  <si>
    <t>B5</t>
  </si>
  <si>
    <t>Autres SPB de niveau de qualité I</t>
  </si>
  <si>
    <t>B6</t>
  </si>
  <si>
    <t>Nombre de types de SPB</t>
  </si>
  <si>
    <t>types</t>
  </si>
  <si>
    <t>B7</t>
  </si>
  <si>
    <t>Murs en pierres sèches</t>
  </si>
  <si>
    <t>Longueur des murs de pierres sèches</t>
  </si>
  <si>
    <t>m</t>
  </si>
  <si>
    <t xml:space="preserve"> m/ha</t>
  </si>
  <si>
    <t>B8</t>
  </si>
  <si>
    <t>Surfaces non SPB et non viticoles à végétation riche en espèces ou structurée</t>
  </si>
  <si>
    <t>B9</t>
  </si>
  <si>
    <t>Petites structures (sur SPB ou non)</t>
  </si>
  <si>
    <t>Pces</t>
  </si>
  <si>
    <t>/ha</t>
  </si>
  <si>
    <t>B10</t>
  </si>
  <si>
    <t>Surfaces présentant entre ⅓ et ⅔ de sol nu</t>
  </si>
  <si>
    <t>Points pour une production préservant les ressources</t>
  </si>
  <si>
    <t>P1</t>
  </si>
  <si>
    <t>Non-recours aux herbicides sous le rang</t>
  </si>
  <si>
    <t>P2a</t>
  </si>
  <si>
    <t>Non-recours aux fongicides présentant un potentiel de risque particulier, réduction du cuivre</t>
  </si>
  <si>
    <t>P2b</t>
  </si>
  <si>
    <t>Non-recours aux produits phytosanitaires de synthèse, réduction du cuivre</t>
  </si>
  <si>
    <t>Valeur supérieure de P2a et P2b</t>
  </si>
  <si>
    <t>P3</t>
  </si>
  <si>
    <t>Cépages résistants (PiWi)</t>
  </si>
  <si>
    <t>Points pour d'autres mesures</t>
  </si>
  <si>
    <t>M1</t>
  </si>
  <si>
    <t>Plants de vigne adaptés au lieu</t>
  </si>
  <si>
    <t>oui = 0.5 Pkt.</t>
  </si>
  <si>
    <t xml:space="preserve">M2 </t>
  </si>
  <si>
    <t>Mesures spécifiques en faveur d'espèces cibles</t>
  </si>
  <si>
    <t>Pts</t>
  </si>
  <si>
    <t>selon un expert</t>
  </si>
  <si>
    <t>Points selon l'évaluation d'un expert</t>
  </si>
  <si>
    <t>Points totaux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</si>
</sst>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-&gt; &quot;0.0&quot;% der Rebfläche&quot;"/>
    <numFmt numFmtId="165" formatCode="&quot;-&gt; &quot;0.0&quot; m/ha Rebfläche&quot;"/>
    <numFmt numFmtId="166" formatCode="&quot;-&gt; &quot;0.0&quot; Stk./ha Rebfläche&quot;"/>
    <numFmt numFmtId="167" formatCode="&quot;-&gt; &quot;0.0&quot;% de la surface viticole&quot;"/>
    <numFmt numFmtId="168" formatCode="&quot;-&gt; &quot;0.0&quot; m/ha de surface viticole&quot;"/>
    <numFmt numFmtId="169" formatCode="&quot;-&gt; &quot;0.0&quot; SPB/ha de surface viticole&quot;"/>
    <numFmt numFmtId="170" formatCode="0.0%"/>
    <numFmt numFmtId="171" formatCode="&quot;-&gt; &quot;0.0&quot; petites structures/ha de surface viticole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3"/>
      <name val="Arial Narrow"/>
      <family val="2"/>
    </font>
    <font>
      <b/>
      <sz val="14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6"/>
      <color rgb="FFFF0000"/>
      <name val="Arial Narrow"/>
      <family val="2"/>
    </font>
    <font>
      <b/>
      <sz val="18"/>
      <color theme="3"/>
      <name val="Arial Narrow"/>
      <family val="2"/>
    </font>
    <font>
      <b/>
      <sz val="18"/>
      <color rgb="FFFF0000"/>
      <name val="Arial Narrow"/>
      <family val="2"/>
    </font>
    <font>
      <sz val="11"/>
      <color rgb="FFFF0000"/>
      <name val="Arial Narrow"/>
      <family val="2"/>
    </font>
    <font>
      <b/>
      <sz val="14"/>
      <color theme="4" tint="-0.499984740745262"/>
      <name val="Arial Narrow"/>
      <family val="2"/>
    </font>
    <font>
      <sz val="11"/>
      <name val="Arial Narrow"/>
      <family val="2"/>
    </font>
    <font>
      <sz val="11"/>
      <color theme="0" tint="-0.14999847407452621"/>
      <name val="Arial Narrow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sz val="9"/>
      <name val="Arial Narrow"/>
      <family val="2"/>
    </font>
    <font>
      <b/>
      <sz val="14"/>
      <color theme="4" tint="-0.24997711111789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4" fontId="1" fillId="0" borderId="0" xfId="0" quotePrefix="1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horizontal="left" vertical="top" wrapText="1"/>
    </xf>
    <xf numFmtId="0" fontId="1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2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4" borderId="0" xfId="0" applyFont="1" applyFill="1" applyAlignment="1">
      <alignment horizontal="right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" fillId="6" borderId="0" xfId="0" applyFont="1" applyFill="1" applyAlignment="1">
      <alignment horizontal="left" vertical="top" wrapText="1"/>
    </xf>
    <xf numFmtId="0" fontId="3" fillId="6" borderId="0" xfId="0" applyFont="1" applyFill="1" applyAlignment="1">
      <alignment horizontal="left" vertical="top" wrapText="1"/>
    </xf>
    <xf numFmtId="0" fontId="1" fillId="6" borderId="0" xfId="0" applyFont="1" applyFill="1" applyAlignment="1">
      <alignment horizontal="right" vertical="top" wrapText="1"/>
    </xf>
    <xf numFmtId="0" fontId="1" fillId="6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1" fillId="4" borderId="0" xfId="0" applyFont="1" applyFill="1" applyAlignment="1">
      <alignment horizontal="right" vertical="top"/>
    </xf>
    <xf numFmtId="0" fontId="5" fillId="6" borderId="0" xfId="0" applyFont="1" applyFill="1" applyAlignment="1">
      <alignment horizontal="right" vertical="top" wrapText="1"/>
    </xf>
    <xf numFmtId="0" fontId="13" fillId="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6" borderId="0" xfId="0" applyFont="1" applyFill="1" applyAlignment="1">
      <alignment horizontal="left" wrapText="1"/>
    </xf>
    <xf numFmtId="0" fontId="1" fillId="2" borderId="0" xfId="0" applyFont="1" applyFill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2" fontId="1" fillId="2" borderId="0" xfId="0" applyNumberFormat="1" applyFont="1" applyFill="1" applyAlignment="1" applyProtection="1">
      <alignment horizontal="left" vertical="top"/>
      <protection locked="0"/>
    </xf>
    <xf numFmtId="0" fontId="12" fillId="0" borderId="0" xfId="0" applyFont="1" applyAlignment="1">
      <alignment vertical="top" wrapText="1"/>
    </xf>
    <xf numFmtId="164" fontId="12" fillId="0" borderId="0" xfId="0" quotePrefix="1" applyNumberFormat="1" applyFont="1" applyAlignment="1">
      <alignment horizontal="left" vertical="top" wrapText="1"/>
    </xf>
    <xf numFmtId="166" fontId="12" fillId="0" borderId="0" xfId="0" applyNumberFormat="1" applyFont="1" applyAlignment="1">
      <alignment horizontal="left" vertical="top" wrapText="1"/>
    </xf>
    <xf numFmtId="165" fontId="12" fillId="0" borderId="0" xfId="0" applyNumberFormat="1" applyFont="1" applyAlignment="1">
      <alignment horizontal="left" vertical="top" wrapText="1"/>
    </xf>
    <xf numFmtId="2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4" borderId="0" xfId="0" applyFont="1" applyFill="1" applyAlignment="1">
      <alignment horizontal="left"/>
    </xf>
    <xf numFmtId="0" fontId="12" fillId="0" borderId="0" xfId="0" applyFont="1" applyAlignment="1">
      <alignment horizontal="left" vertical="top" wrapText="1"/>
    </xf>
    <xf numFmtId="167" fontId="12" fillId="0" borderId="0" xfId="0" quotePrefix="1" applyNumberFormat="1" applyFont="1" applyAlignment="1">
      <alignment horizontal="left" vertical="top" wrapText="1"/>
    </xf>
    <xf numFmtId="168" fontId="12" fillId="0" borderId="0" xfId="0" applyNumberFormat="1" applyFont="1" applyAlignment="1">
      <alignment horizontal="left" vertical="top" wrapText="1"/>
    </xf>
    <xf numFmtId="169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2" fontId="17" fillId="0" borderId="0" xfId="0" applyNumberFormat="1" applyFont="1" applyAlignment="1">
      <alignment horizontal="left" vertical="top" wrapText="1"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2" fillId="0" borderId="0" xfId="0" applyFont="1" applyAlignment="1">
      <alignment horizontal="left" vertical="top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1" fillId="2" borderId="0" xfId="0" applyFont="1" applyFill="1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170" fontId="1" fillId="0" borderId="0" xfId="1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7" fillId="5" borderId="0" xfId="0" applyFont="1" applyFill="1" applyAlignment="1">
      <alignment horizontal="center" vertical="top"/>
    </xf>
    <xf numFmtId="171" fontId="12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1" fillId="0" borderId="0" xfId="0" applyFont="1" applyFill="1" applyAlignment="1">
      <alignment horizontal="left" vertical="top"/>
    </xf>
    <xf numFmtId="165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4" borderId="0" xfId="0" applyFont="1" applyFill="1" applyAlignment="1">
      <alignment horizontal="right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170" fontId="12" fillId="0" borderId="0" xfId="1" applyNumberFormat="1" applyFont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2" fontId="12" fillId="2" borderId="0" xfId="0" applyNumberFormat="1" applyFont="1" applyFill="1" applyAlignment="1" applyProtection="1">
      <alignment horizontal="left" vertical="top"/>
      <protection locked="0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1" fillId="4" borderId="0" xfId="0" applyFont="1" applyFill="1" applyAlignment="1">
      <alignment horizontal="left"/>
    </xf>
    <xf numFmtId="0" fontId="1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</cellXfs>
  <cellStyles count="2">
    <cellStyle name="Prozent" xfId="1" builtinId="5"/>
    <cellStyle name="Standard" xfId="0" builtinId="0"/>
  </cellStyles>
  <dxfs count="4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28575</xdr:rowOff>
    </xdr:from>
    <xdr:to>
      <xdr:col>2</xdr:col>
      <xdr:colOff>152400</xdr:colOff>
      <xdr:row>0</xdr:row>
      <xdr:rowOff>590550</xdr:rowOff>
    </xdr:to>
    <xdr:pic>
      <xdr:nvPicPr>
        <xdr:cNvPr id="2" name="Picture 8" descr="M:\Multimedia\Logos\Vogelwarte 2007\vogelwarte_kurz_rot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28575"/>
          <a:ext cx="1876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0</xdr:row>
      <xdr:rowOff>9525</xdr:rowOff>
    </xdr:from>
    <xdr:to>
      <xdr:col>1</xdr:col>
      <xdr:colOff>419100</xdr:colOff>
      <xdr:row>0</xdr:row>
      <xdr:rowOff>609600</xdr:rowOff>
    </xdr:to>
    <xdr:pic>
      <xdr:nvPicPr>
        <xdr:cNvPr id="3" name="Picture 22" descr="M:\Multimedia\Logos\IP-SUISSE_cmyk.t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"/>
          <a:ext cx="6000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742950</xdr:colOff>
      <xdr:row>0</xdr:row>
      <xdr:rowOff>28575</xdr:rowOff>
    </xdr:from>
    <xdr:ext cx="1949841" cy="561975"/>
    <xdr:pic>
      <xdr:nvPicPr>
        <xdr:cNvPr id="2" name="Picture 8" descr="M:\Multimedia\Logos\Vogelwarte 2007\vogelwarte_kurz_rot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" y="28575"/>
          <a:ext cx="1949841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114300</xdr:colOff>
      <xdr:row>0</xdr:row>
      <xdr:rowOff>9525</xdr:rowOff>
    </xdr:from>
    <xdr:to>
      <xdr:col>1</xdr:col>
      <xdr:colOff>419100</xdr:colOff>
      <xdr:row>0</xdr:row>
      <xdr:rowOff>609600</xdr:rowOff>
    </xdr:to>
    <xdr:pic>
      <xdr:nvPicPr>
        <xdr:cNvPr id="3" name="Picture 22" descr="M:\Multimedia\Logos\IP-SUISSE_cmyk.t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"/>
          <a:ext cx="929640" cy="173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7"/>
  <sheetViews>
    <sheetView tabSelected="1" zoomScaleNormal="100" workbookViewId="0">
      <selection activeCell="P52" sqref="P52"/>
    </sheetView>
  </sheetViews>
  <sheetFormatPr baseColWidth="10" defaultColWidth="9.140625" defaultRowHeight="16.5" x14ac:dyDescent="0.25"/>
  <cols>
    <col min="1" max="1" width="4.42578125" style="1" customWidth="1"/>
    <col min="2" max="2" width="37" style="2" customWidth="1"/>
    <col min="3" max="3" width="9.140625" style="1"/>
    <col min="4" max="4" width="5.42578125" style="1" customWidth="1"/>
    <col min="5" max="5" width="6.85546875" style="65" customWidth="1"/>
    <col min="6" max="6" width="34.42578125" style="2" customWidth="1"/>
    <col min="7" max="7" width="8.85546875" style="5" customWidth="1"/>
    <col min="8" max="12" width="7.85546875" style="7" customWidth="1"/>
    <col min="13" max="13" width="7.85546875" style="27" customWidth="1"/>
    <col min="14" max="14" width="7.85546875" style="1" customWidth="1"/>
    <col min="15" max="16384" width="9.140625" style="1"/>
  </cols>
  <sheetData>
    <row r="1" spans="1:15" ht="58.5" customHeight="1" x14ac:dyDescent="0.25">
      <c r="I1" s="7" t="s">
        <v>90</v>
      </c>
      <c r="N1" s="59">
        <f>COUNTA(C7,C9,C11,C13)+SUM(Rebfläche,C56,C61,C65,C69,C73,C77,C81,C85,C90,C94,C100,C104,C109,C115,C121,C124)-10+SUM(C23="oui",C26="oui", C29="oui", C41="oui", C21="oui", C32="oui", C35="oui", C38="oui", C45="oui",C47="oui",C49="oui")</f>
        <v>0</v>
      </c>
      <c r="O1" s="59" t="s">
        <v>94</v>
      </c>
    </row>
    <row r="2" spans="1:15" ht="23.25" x14ac:dyDescent="0.25">
      <c r="A2" s="15" t="s">
        <v>0</v>
      </c>
      <c r="B2" s="11"/>
      <c r="F2" s="11"/>
      <c r="G2" s="11"/>
    </row>
    <row r="3" spans="1:15" ht="23.25" x14ac:dyDescent="0.25">
      <c r="A3" s="15" t="s">
        <v>1</v>
      </c>
      <c r="B3" s="11"/>
      <c r="F3" s="11"/>
    </row>
    <row r="4" spans="1:15" ht="23.25" x14ac:dyDescent="0.3">
      <c r="A4" s="16" t="s">
        <v>2</v>
      </c>
      <c r="B4" s="1"/>
      <c r="D4" s="41"/>
      <c r="F4" s="11"/>
      <c r="G4" s="11"/>
    </row>
    <row r="5" spans="1:15" x14ac:dyDescent="0.25">
      <c r="B5" s="11"/>
      <c r="D5" s="17"/>
      <c r="F5" s="11"/>
      <c r="G5" s="11"/>
    </row>
    <row r="6" spans="1:15" ht="18" x14ac:dyDescent="0.25">
      <c r="A6" s="3" t="s">
        <v>3</v>
      </c>
    </row>
    <row r="7" spans="1:15" ht="16.5" customHeight="1" x14ac:dyDescent="0.25">
      <c r="B7" s="43" t="s">
        <v>37</v>
      </c>
      <c r="C7" s="38"/>
      <c r="D7" s="39"/>
      <c r="E7" s="66"/>
    </row>
    <row r="8" spans="1:15" ht="4.5" customHeight="1" x14ac:dyDescent="0.25">
      <c r="B8" s="43"/>
      <c r="D8" s="40"/>
      <c r="E8" s="67"/>
    </row>
    <row r="9" spans="1:15" ht="16.5" customHeight="1" x14ac:dyDescent="0.25">
      <c r="B9" s="43" t="s">
        <v>38</v>
      </c>
      <c r="C9" s="38"/>
      <c r="D9" s="39"/>
      <c r="E9" s="66"/>
      <c r="G9" s="58"/>
    </row>
    <row r="10" spans="1:15" ht="4.5" customHeight="1" x14ac:dyDescent="0.25">
      <c r="B10" s="43"/>
      <c r="F10" s="5"/>
    </row>
    <row r="11" spans="1:15" ht="16.5" customHeight="1" x14ac:dyDescent="0.25">
      <c r="B11" s="43" t="s">
        <v>39</v>
      </c>
      <c r="C11" s="38"/>
    </row>
    <row r="12" spans="1:15" ht="4.5" customHeight="1" x14ac:dyDescent="0.25">
      <c r="B12" s="43"/>
      <c r="F12" s="5"/>
    </row>
    <row r="13" spans="1:15" ht="16.5" customHeight="1" x14ac:dyDescent="0.25">
      <c r="B13" s="43" t="s">
        <v>40</v>
      </c>
      <c r="C13" s="38"/>
    </row>
    <row r="14" spans="1:15" ht="4.5" customHeight="1" x14ac:dyDescent="0.25">
      <c r="B14" s="43"/>
      <c r="F14" s="5"/>
    </row>
    <row r="15" spans="1:15" ht="16.5" customHeight="1" x14ac:dyDescent="0.25">
      <c r="B15" s="43" t="s">
        <v>41</v>
      </c>
      <c r="C15" s="44">
        <v>10</v>
      </c>
      <c r="D15" s="1" t="s">
        <v>75</v>
      </c>
    </row>
    <row r="16" spans="1:15" ht="4.5" customHeight="1" x14ac:dyDescent="0.25">
      <c r="B16" s="74"/>
      <c r="F16" s="42"/>
      <c r="G16" s="42"/>
    </row>
    <row r="17" spans="1:7" ht="31.5" customHeight="1" x14ac:dyDescent="0.25">
      <c r="B17" s="83" t="s">
        <v>42</v>
      </c>
      <c r="C17" s="44">
        <v>0</v>
      </c>
      <c r="D17" s="1" t="s">
        <v>75</v>
      </c>
      <c r="E17" s="68">
        <f>C17/Rebfläche</f>
        <v>0</v>
      </c>
      <c r="F17" s="42" t="s">
        <v>80</v>
      </c>
      <c r="G17" s="42"/>
    </row>
    <row r="18" spans="1:7" ht="16.350000000000001" customHeight="1" x14ac:dyDescent="0.25">
      <c r="B18" s="42"/>
      <c r="F18" s="42"/>
      <c r="G18" s="42"/>
    </row>
    <row r="19" spans="1:7" ht="18" x14ac:dyDescent="0.25">
      <c r="A19" s="3" t="s">
        <v>4</v>
      </c>
    </row>
    <row r="20" spans="1:7" ht="4.5" customHeight="1" x14ac:dyDescent="0.25">
      <c r="B20" s="5"/>
      <c r="F20" s="5"/>
    </row>
    <row r="21" spans="1:7" ht="16.5" customHeight="1" x14ac:dyDescent="0.25">
      <c r="A21" s="1" t="s">
        <v>5</v>
      </c>
      <c r="B21" s="45" t="s">
        <v>43</v>
      </c>
      <c r="C21" s="38" t="s">
        <v>74</v>
      </c>
      <c r="F21" s="42"/>
      <c r="G21" s="42"/>
    </row>
    <row r="22" spans="1:7" ht="4.5" customHeight="1" x14ac:dyDescent="0.25">
      <c r="B22" s="42"/>
      <c r="F22" s="42"/>
      <c r="G22" s="42"/>
    </row>
    <row r="23" spans="1:7" ht="16.5" customHeight="1" x14ac:dyDescent="0.25">
      <c r="A23" s="1" t="s">
        <v>6</v>
      </c>
      <c r="B23" s="93" t="s">
        <v>44</v>
      </c>
      <c r="C23" s="38" t="s">
        <v>74</v>
      </c>
    </row>
    <row r="24" spans="1:7" ht="33" customHeight="1" x14ac:dyDescent="0.25">
      <c r="B24" s="93"/>
      <c r="F24" s="19"/>
      <c r="G24" s="19"/>
    </row>
    <row r="25" spans="1:7" ht="4.5" customHeight="1" x14ac:dyDescent="0.25">
      <c r="B25" s="43"/>
    </row>
    <row r="26" spans="1:7" ht="16.5" customHeight="1" x14ac:dyDescent="0.25">
      <c r="A26" s="1" t="s">
        <v>7</v>
      </c>
      <c r="B26" s="91" t="s">
        <v>45</v>
      </c>
      <c r="C26" s="38" t="s">
        <v>74</v>
      </c>
    </row>
    <row r="27" spans="1:7" ht="18" customHeight="1" x14ac:dyDescent="0.25">
      <c r="B27" s="91"/>
      <c r="F27" s="19"/>
      <c r="G27" s="19"/>
    </row>
    <row r="28" spans="1:7" ht="4.5" customHeight="1" x14ac:dyDescent="0.25">
      <c r="B28" s="45"/>
      <c r="F28" s="5"/>
    </row>
    <row r="29" spans="1:7" ht="16.5" customHeight="1" x14ac:dyDescent="0.25">
      <c r="A29" s="1" t="s">
        <v>8</v>
      </c>
      <c r="B29" s="93" t="s">
        <v>46</v>
      </c>
      <c r="C29" s="38" t="s">
        <v>74</v>
      </c>
      <c r="F29" s="24"/>
    </row>
    <row r="30" spans="1:7" ht="33" customHeight="1" x14ac:dyDescent="0.25">
      <c r="B30" s="93"/>
      <c r="F30" s="18"/>
      <c r="G30" s="19"/>
    </row>
    <row r="31" spans="1:7" ht="4.3499999999999996" customHeight="1" x14ac:dyDescent="0.25">
      <c r="B31" s="53"/>
      <c r="F31" s="24"/>
      <c r="G31" s="42"/>
    </row>
    <row r="32" spans="1:7" ht="16.5" customHeight="1" x14ac:dyDescent="0.25">
      <c r="A32" s="1" t="s">
        <v>9</v>
      </c>
      <c r="B32" s="93" t="s">
        <v>47</v>
      </c>
      <c r="C32" s="38" t="s">
        <v>74</v>
      </c>
      <c r="F32" s="5"/>
    </row>
    <row r="33" spans="1:9" ht="18" customHeight="1" x14ac:dyDescent="0.25">
      <c r="B33" s="93"/>
      <c r="C33" s="23"/>
      <c r="F33" s="1"/>
      <c r="G33" s="23"/>
    </row>
    <row r="34" spans="1:9" ht="4.5" customHeight="1" x14ac:dyDescent="0.25">
      <c r="B34" s="43"/>
      <c r="F34" s="5"/>
    </row>
    <row r="35" spans="1:9" ht="16.350000000000001" customHeight="1" x14ac:dyDescent="0.25">
      <c r="A35" s="1" t="s">
        <v>10</v>
      </c>
      <c r="B35" s="43" t="s">
        <v>48</v>
      </c>
      <c r="C35" s="38" t="s">
        <v>74</v>
      </c>
    </row>
    <row r="36" spans="1:9" ht="4.3499999999999996" customHeight="1" x14ac:dyDescent="0.25">
      <c r="B36" s="57"/>
      <c r="C36" s="38"/>
      <c r="F36" s="42"/>
      <c r="G36" s="42"/>
    </row>
    <row r="37" spans="1:9" ht="4.3499999999999996" customHeight="1" x14ac:dyDescent="0.25">
      <c r="B37" s="43"/>
      <c r="F37" s="5"/>
    </row>
    <row r="38" spans="1:9" ht="35.25" customHeight="1" x14ac:dyDescent="0.25">
      <c r="A38" s="1" t="s">
        <v>11</v>
      </c>
      <c r="B38" s="45" t="s">
        <v>49</v>
      </c>
      <c r="C38" s="38" t="s">
        <v>74</v>
      </c>
    </row>
    <row r="39" spans="1:9" ht="4.3499999999999996" customHeight="1" x14ac:dyDescent="0.25">
      <c r="B39" s="45"/>
      <c r="F39" s="5"/>
    </row>
    <row r="40" spans="1:9" ht="4.3499999999999996" customHeight="1" x14ac:dyDescent="0.25">
      <c r="B40" s="45"/>
      <c r="F40" s="42"/>
      <c r="G40" s="42"/>
    </row>
    <row r="41" spans="1:9" ht="16.5" customHeight="1" x14ac:dyDescent="0.25">
      <c r="A41" s="1" t="s">
        <v>12</v>
      </c>
      <c r="B41" s="43" t="s">
        <v>50</v>
      </c>
      <c r="C41" s="38" t="s">
        <v>74</v>
      </c>
      <c r="F41" s="1"/>
    </row>
    <row r="42" spans="1:9" ht="4.5" customHeight="1" x14ac:dyDescent="0.25">
      <c r="B42" s="43"/>
      <c r="F42" s="5"/>
    </row>
    <row r="43" spans="1:9" ht="48.75" customHeight="1" x14ac:dyDescent="0.25">
      <c r="A43" s="1" t="s">
        <v>13</v>
      </c>
      <c r="B43" s="83" t="s">
        <v>51</v>
      </c>
      <c r="C43" s="1" t="str">
        <f>+IF(E43&gt;0.035,"ja", "nein")</f>
        <v>nein</v>
      </c>
      <c r="E43" s="68">
        <f>+(HeckenQII+HeckenQI+andereQII+andereQI)/Rebfläche+IF(RebenQII&gt;Rebfläche/100,0.01,RebenQII/Rebfläche)</f>
        <v>0</v>
      </c>
      <c r="F43" s="42" t="s">
        <v>81</v>
      </c>
      <c r="G43" s="42"/>
      <c r="I43" s="7" t="s">
        <v>91</v>
      </c>
    </row>
    <row r="44" spans="1:9" ht="4.5" customHeight="1" x14ac:dyDescent="0.25">
      <c r="B44" s="42"/>
      <c r="F44" s="42"/>
      <c r="G44" s="42"/>
    </row>
    <row r="45" spans="1:9" ht="20.25" customHeight="1" x14ac:dyDescent="0.25">
      <c r="A45" s="1" t="s">
        <v>14</v>
      </c>
      <c r="B45" s="83" t="s">
        <v>52</v>
      </c>
      <c r="C45" s="38" t="s">
        <v>74</v>
      </c>
      <c r="E45" s="84"/>
      <c r="F45" s="42"/>
      <c r="G45" s="42"/>
    </row>
    <row r="46" spans="1:9" ht="4.5" customHeight="1" x14ac:dyDescent="0.25">
      <c r="B46" s="42"/>
      <c r="E46" s="84"/>
      <c r="F46" s="42"/>
      <c r="G46" s="42"/>
    </row>
    <row r="47" spans="1:9" ht="16.5" customHeight="1" x14ac:dyDescent="0.25">
      <c r="A47" s="1" t="s">
        <v>15</v>
      </c>
      <c r="B47" s="83" t="s">
        <v>53</v>
      </c>
      <c r="C47" s="38" t="s">
        <v>74</v>
      </c>
      <c r="E47" s="84"/>
      <c r="F47" s="42"/>
      <c r="G47" s="42"/>
    </row>
    <row r="48" spans="1:9" ht="4.5" customHeight="1" x14ac:dyDescent="0.25">
      <c r="A48" s="17"/>
      <c r="B48" s="43"/>
      <c r="E48" s="69"/>
      <c r="F48" s="18"/>
      <c r="G48" s="19"/>
    </row>
    <row r="49" spans="1:14" ht="16.5" customHeight="1" x14ac:dyDescent="0.25">
      <c r="A49" s="1" t="s">
        <v>16</v>
      </c>
      <c r="B49" s="91" t="s">
        <v>54</v>
      </c>
      <c r="C49" s="38" t="s">
        <v>74</v>
      </c>
    </row>
    <row r="50" spans="1:14" ht="18" customHeight="1" x14ac:dyDescent="0.25">
      <c r="B50" s="91"/>
      <c r="F50" s="19"/>
      <c r="G50" s="19"/>
    </row>
    <row r="51" spans="1:14" ht="4.5" customHeight="1" x14ac:dyDescent="0.25">
      <c r="B51" s="21"/>
      <c r="F51" s="5"/>
    </row>
    <row r="52" spans="1:14" ht="31.5" customHeight="1" x14ac:dyDescent="0.25">
      <c r="B52" s="92" t="str">
        <f>+IF(I52=1,"I requisiti fondamentali risultano rispettati", "Attenzione: non tutti i requisiti fondamentali risultano soddisfatti")</f>
        <v>Attenzione: non tutti i requisiti fondamentali risultano soddisfatti</v>
      </c>
      <c r="C52" s="92"/>
      <c r="D52" s="92"/>
      <c r="E52" s="92"/>
      <c r="F52" s="92"/>
      <c r="G52" s="9"/>
      <c r="I52" s="35">
        <f>+IF(AND(C23="ja",C26="ja", C29="ja", C43="ja", C21="ja", C32="ja", C38="ja", C35="ja", C41="ja", C45="ja", C47="ja",C49="ja"),1,0)</f>
        <v>0</v>
      </c>
      <c r="M52" s="28"/>
    </row>
    <row r="53" spans="1:14" ht="33" x14ac:dyDescent="0.3">
      <c r="A53" s="73" t="s">
        <v>17</v>
      </c>
      <c r="H53" s="31"/>
      <c r="I53" s="31" t="s">
        <v>92</v>
      </c>
      <c r="J53" s="31"/>
      <c r="K53" s="31"/>
      <c r="L53" s="31"/>
      <c r="M53" s="37" t="s">
        <v>85</v>
      </c>
    </row>
    <row r="54" spans="1:14" ht="16.5" customHeight="1" x14ac:dyDescent="0.3">
      <c r="E54" s="65" t="s">
        <v>79</v>
      </c>
      <c r="F54" s="2" t="s">
        <v>82</v>
      </c>
      <c r="G54" s="5" t="s">
        <v>85</v>
      </c>
      <c r="I54" s="90" t="s">
        <v>93</v>
      </c>
      <c r="J54" s="90"/>
      <c r="K54" s="90"/>
      <c r="L54" s="90"/>
    </row>
    <row r="55" spans="1:14" ht="4.5" customHeight="1" x14ac:dyDescent="0.25">
      <c r="B55" s="23"/>
      <c r="F55" s="23"/>
      <c r="G55" s="42"/>
    </row>
    <row r="56" spans="1:14" ht="16.5" customHeight="1" x14ac:dyDescent="0.25">
      <c r="A56" s="1" t="s">
        <v>18</v>
      </c>
      <c r="B56" s="91" t="s">
        <v>55</v>
      </c>
      <c r="C56" s="44">
        <v>0</v>
      </c>
      <c r="D56" s="1" t="s">
        <v>75</v>
      </c>
      <c r="F56" s="1"/>
      <c r="G56" s="1"/>
    </row>
    <row r="57" spans="1:14" ht="16.5" customHeight="1" x14ac:dyDescent="0.25">
      <c r="B57" s="91"/>
      <c r="F57" s="1"/>
      <c r="G57" s="1"/>
      <c r="H57" s="7" t="s">
        <v>86</v>
      </c>
      <c r="I57" s="7">
        <v>7</v>
      </c>
      <c r="J57" s="7">
        <v>15</v>
      </c>
      <c r="K57" s="8">
        <v>30</v>
      </c>
      <c r="L57" s="7">
        <v>60</v>
      </c>
    </row>
    <row r="58" spans="1:14" ht="16.5" customHeight="1" x14ac:dyDescent="0.3">
      <c r="B58" s="46">
        <f>+C56/C$15*100</f>
        <v>0</v>
      </c>
      <c r="E58" s="69">
        <f>+IF(B58&gt;L57,L58,IF(B58&gt;K57,K58,IF(B58&gt;J57,J58,IF(B58&gt;I57,I58,0))))</f>
        <v>0</v>
      </c>
      <c r="F58" s="42" t="str">
        <f>+"&gt;"&amp;I57&amp;"-"&amp;J57&amp;H57&amp;" = "&amp;I58&amp;" Pkt.; &gt;"&amp;J57&amp;"-"&amp;K57&amp;H57&amp;" = "&amp;J58&amp;" Pkt."</f>
        <v>&gt;7-15% = 1 Pkt.; &gt;15-30% = 2 Pkt.</v>
      </c>
      <c r="G58" s="42" t="str">
        <f>+"&gt;"&amp;K57&amp;H57</f>
        <v>&gt;30%</v>
      </c>
      <c r="H58" s="7" t="s">
        <v>87</v>
      </c>
      <c r="I58" s="22">
        <v>1</v>
      </c>
      <c r="J58" s="22">
        <v>2</v>
      </c>
      <c r="K58" s="60">
        <v>3</v>
      </c>
      <c r="L58" s="22">
        <v>4</v>
      </c>
      <c r="M58" s="29">
        <f>+K58</f>
        <v>3</v>
      </c>
      <c r="N58" s="10"/>
    </row>
    <row r="59" spans="1:14" ht="16.5" customHeight="1" x14ac:dyDescent="0.25">
      <c r="B59" s="46"/>
      <c r="E59" s="69"/>
      <c r="F59" s="20" t="str">
        <f>+"&gt;"&amp;K57&amp;"-"&amp;L57&amp;H57&amp;" = "&amp;K58&amp;" Pkt.; &gt;"&amp;L57&amp;H57&amp;" = "&amp;L58&amp;" Pkt."</f>
        <v>&gt;30-60% = 3 Pkt.; &gt;60% = 4 Pkt.</v>
      </c>
      <c r="G59" s="42"/>
      <c r="J59" s="8"/>
      <c r="M59" s="29"/>
      <c r="N59" s="10"/>
    </row>
    <row r="60" spans="1:14" ht="4.5" customHeight="1" x14ac:dyDescent="0.25">
      <c r="B60" s="46"/>
      <c r="E60" s="69"/>
      <c r="F60" s="42"/>
      <c r="G60" s="42"/>
      <c r="J60" s="8"/>
      <c r="M60" s="29"/>
      <c r="N60" s="10"/>
    </row>
    <row r="61" spans="1:14" ht="16.5" customHeight="1" x14ac:dyDescent="0.25">
      <c r="A61" s="1" t="s">
        <v>19</v>
      </c>
      <c r="B61" s="43" t="s">
        <v>56</v>
      </c>
      <c r="C61" s="44">
        <v>0</v>
      </c>
      <c r="D61" s="1" t="s">
        <v>75</v>
      </c>
      <c r="F61" s="1"/>
      <c r="G61" s="1"/>
      <c r="H61" s="7" t="s">
        <v>86</v>
      </c>
      <c r="I61" s="8">
        <v>0.5</v>
      </c>
      <c r="J61" s="7">
        <v>1.5</v>
      </c>
      <c r="K61" s="7">
        <v>2.5</v>
      </c>
      <c r="L61" s="7">
        <v>4</v>
      </c>
      <c r="M61" s="29"/>
    </row>
    <row r="62" spans="1:14" ht="16.5" customHeight="1" x14ac:dyDescent="0.3">
      <c r="B62" s="46">
        <f>+C61/C$15*100</f>
        <v>0</v>
      </c>
      <c r="E62" s="69">
        <f>+IF(B62&gt;L61,L62,IF(B62&gt;K61,K62,IF(B62&gt;J61,J62,IF(B62&gt;I61,I62,0))))</f>
        <v>0</v>
      </c>
      <c r="F62" s="42" t="str">
        <f>+"&gt;"&amp;I61&amp;"-"&amp;J61&amp;H61&amp;" = "&amp;I62&amp;" Pkt.; &gt;"&amp;J61&amp;"-"&amp;K61&amp;H61&amp;" = "&amp;J62&amp;" Pkt."</f>
        <v>&gt;0.5-1.5% = 1 Pkt.; &gt;1.5-2.5% = 2 Pkt.</v>
      </c>
      <c r="G62" s="42" t="str">
        <f>+"&gt;"&amp;I61&amp;H61</f>
        <v>&gt;0.5%</v>
      </c>
      <c r="H62" s="7" t="s">
        <v>87</v>
      </c>
      <c r="I62" s="60">
        <v>1</v>
      </c>
      <c r="J62" s="22">
        <v>2</v>
      </c>
      <c r="K62" s="22">
        <v>4</v>
      </c>
      <c r="L62" s="22">
        <v>6</v>
      </c>
      <c r="M62" s="29">
        <f>+I62</f>
        <v>1</v>
      </c>
      <c r="N62" s="10"/>
    </row>
    <row r="63" spans="1:14" ht="16.5" customHeight="1" x14ac:dyDescent="0.25">
      <c r="B63" s="46"/>
      <c r="E63" s="69"/>
      <c r="F63" s="23" t="str">
        <f>+"&gt;"&amp;K61&amp;"-"&amp;L61&amp;H61&amp;" = "&amp;K62&amp;" Pkt.; &gt;"&amp;L61&amp;H61&amp;" = "&amp;L62&amp;" Pkt."</f>
        <v>&gt;2.5-4% = 4 Pkt.; &gt;4% = 6 Pkt.</v>
      </c>
      <c r="G63" s="42"/>
      <c r="M63" s="29"/>
    </row>
    <row r="64" spans="1:14" ht="4.5" customHeight="1" x14ac:dyDescent="0.25">
      <c r="B64" s="46"/>
      <c r="E64" s="69"/>
      <c r="F64" s="23"/>
      <c r="G64" s="42"/>
      <c r="M64" s="29"/>
      <c r="N64" s="10"/>
    </row>
    <row r="65" spans="1:14" ht="16.5" customHeight="1" x14ac:dyDescent="0.3">
      <c r="A65" s="1" t="s">
        <v>20</v>
      </c>
      <c r="B65" s="43" t="s">
        <v>57</v>
      </c>
      <c r="C65" s="44">
        <v>0</v>
      </c>
      <c r="D65" s="1" t="s">
        <v>75</v>
      </c>
      <c r="F65" s="1"/>
      <c r="G65" s="1"/>
      <c r="H65" s="31" t="s">
        <v>86</v>
      </c>
      <c r="I65" s="31">
        <v>1</v>
      </c>
      <c r="J65" s="32">
        <v>2</v>
      </c>
      <c r="K65" s="31">
        <v>4</v>
      </c>
      <c r="L65" s="31">
        <v>8</v>
      </c>
      <c r="M65" s="29"/>
    </row>
    <row r="66" spans="1:14" ht="16.5" customHeight="1" x14ac:dyDescent="0.3">
      <c r="B66" s="46">
        <f>+C65/Rebfläche*100</f>
        <v>0</v>
      </c>
      <c r="E66" s="69">
        <f>+IF(B66&gt;L65,L66,IF(B66&gt;K65,K66,IF(B66&gt;J65,J66,IF(B66&gt;I65,I66,0))))</f>
        <v>0</v>
      </c>
      <c r="F66" s="42" t="str">
        <f>+"&gt;"&amp;I65&amp;"-"&amp;J65&amp;H65&amp;" = "&amp;I66&amp;" Pkt.; &gt;"&amp;J65&amp;"-"&amp;K65&amp;H65&amp;" = "&amp;J66&amp;" Pkt."</f>
        <v>&gt;1-2% = 1 Pkt.; &gt;2-4% = 2 Pkt.</v>
      </c>
      <c r="G66" s="42" t="str">
        <f>+"&gt;"&amp;J65&amp;H65</f>
        <v>&gt;2%</v>
      </c>
      <c r="H66" s="7" t="s">
        <v>87</v>
      </c>
      <c r="I66" s="22">
        <v>1</v>
      </c>
      <c r="J66" s="60">
        <v>2</v>
      </c>
      <c r="K66" s="22">
        <v>4</v>
      </c>
      <c r="L66" s="22">
        <v>6</v>
      </c>
      <c r="M66" s="29">
        <f>+J66</f>
        <v>2</v>
      </c>
      <c r="N66" s="10"/>
    </row>
    <row r="67" spans="1:14" ht="16.5" customHeight="1" x14ac:dyDescent="0.25">
      <c r="B67" s="46"/>
      <c r="E67" s="69"/>
      <c r="F67" s="23" t="str">
        <f>+"&gt;"&amp;K65&amp;"-"&amp;L65&amp;H65&amp;" = "&amp;K66&amp;" Pkt.; &gt;"&amp;L65&amp;H65&amp;" = "&amp;L66&amp;" Pkt."</f>
        <v>&gt;4-8% = 4 Pkt.; &gt;8% = 6 Pkt.</v>
      </c>
      <c r="G67" s="42"/>
      <c r="M67" s="29"/>
      <c r="N67" s="10"/>
    </row>
    <row r="68" spans="1:14" ht="4.5" customHeight="1" x14ac:dyDescent="0.25">
      <c r="B68" s="46"/>
      <c r="E68" s="69"/>
      <c r="F68" s="23"/>
      <c r="G68" s="42"/>
      <c r="M68" s="29"/>
      <c r="N68" s="10"/>
    </row>
    <row r="69" spans="1:14" ht="16.5" customHeight="1" x14ac:dyDescent="0.3">
      <c r="A69" s="1" t="s">
        <v>21</v>
      </c>
      <c r="B69" s="43" t="s">
        <v>58</v>
      </c>
      <c r="C69" s="44">
        <v>0</v>
      </c>
      <c r="D69" s="1" t="s">
        <v>75</v>
      </c>
      <c r="F69" s="1"/>
      <c r="G69" s="1"/>
      <c r="H69" s="31" t="s">
        <v>86</v>
      </c>
      <c r="I69" s="8">
        <v>0.5</v>
      </c>
      <c r="J69" s="7">
        <v>1.5</v>
      </c>
      <c r="K69" s="7">
        <v>2.5</v>
      </c>
      <c r="L69" s="7">
        <v>4</v>
      </c>
    </row>
    <row r="70" spans="1:14" ht="16.5" customHeight="1" x14ac:dyDescent="0.3">
      <c r="B70" s="46">
        <f>+C69/C$15</f>
        <v>0</v>
      </c>
      <c r="E70" s="69">
        <f>+IF(B70&gt;L69,L70,IF(B70&gt;K69,K70,IF(B70&gt;J69,J70,IF(B70&gt;I69,I70,0))))</f>
        <v>0</v>
      </c>
      <c r="F70" s="42" t="str">
        <f>+"&gt;"&amp;I69&amp;"-"&amp;J69&amp;H69&amp;" = "&amp;I70&amp;" Pkt.; &gt;"&amp;J69&amp;"-"&amp;K69&amp;H69&amp;" = "&amp;J70&amp;" Pkt."</f>
        <v>&gt;0.5-1.5% = 0.5 Pkt.; &gt;1.5-2.5% = 1 Pkt.</v>
      </c>
      <c r="G70" s="42" t="str">
        <f>+"&gt;"&amp;I69&amp;H69</f>
        <v>&gt;0.5%</v>
      </c>
      <c r="H70" s="7" t="s">
        <v>87</v>
      </c>
      <c r="I70" s="60">
        <v>0.5</v>
      </c>
      <c r="J70" s="22">
        <v>1</v>
      </c>
      <c r="K70" s="22">
        <v>2</v>
      </c>
      <c r="L70" s="22">
        <v>3</v>
      </c>
      <c r="M70" s="29">
        <f>+I70</f>
        <v>0.5</v>
      </c>
      <c r="N70" s="10"/>
    </row>
    <row r="71" spans="1:14" ht="16.5" customHeight="1" x14ac:dyDescent="0.25">
      <c r="B71" s="46"/>
      <c r="E71" s="69"/>
      <c r="F71" s="23" t="str">
        <f>+"&gt;"&amp;K69&amp;"-"&amp;L69&amp;H69&amp;" = "&amp;K70&amp;" Pkt.; &gt;"&amp;L69&amp;H69&amp;" = "&amp;L70&amp;" Pkt."</f>
        <v>&gt;2.5-4% = 2 Pkt.; &gt;4% = 3 Pkt.</v>
      </c>
      <c r="G71" s="42"/>
      <c r="M71" s="30"/>
      <c r="N71" s="10"/>
    </row>
    <row r="72" spans="1:14" ht="4.5" customHeight="1" x14ac:dyDescent="0.25">
      <c r="B72" s="46"/>
      <c r="E72" s="69"/>
      <c r="F72" s="20"/>
      <c r="G72" s="42"/>
      <c r="M72" s="30"/>
      <c r="N72" s="10"/>
    </row>
    <row r="73" spans="1:14" ht="16.5" customHeight="1" x14ac:dyDescent="0.3">
      <c r="A73" s="1" t="s">
        <v>22</v>
      </c>
      <c r="B73" s="43" t="s">
        <v>59</v>
      </c>
      <c r="C73" s="44">
        <v>0</v>
      </c>
      <c r="D73" s="1" t="s">
        <v>75</v>
      </c>
      <c r="F73" s="1"/>
      <c r="G73" s="1"/>
      <c r="H73" s="31" t="s">
        <v>86</v>
      </c>
      <c r="I73" s="31">
        <v>1</v>
      </c>
      <c r="J73" s="32">
        <v>2</v>
      </c>
      <c r="K73" s="31">
        <v>4</v>
      </c>
      <c r="L73" s="31">
        <v>8</v>
      </c>
      <c r="M73" s="30"/>
    </row>
    <row r="74" spans="1:14" ht="16.5" customHeight="1" x14ac:dyDescent="0.3">
      <c r="B74" s="46">
        <f>+C73/Rebfläche*100</f>
        <v>0</v>
      </c>
      <c r="E74" s="69">
        <f>+IF(B74&gt;L73,L74,IF(B74&gt;K73,K74,IF(B74&gt;J73,J74,IF(B74&gt;I73,I74,0))))</f>
        <v>0</v>
      </c>
      <c r="F74" s="42" t="str">
        <f>+"&gt;"&amp;I73&amp;"-"&amp;J73&amp;H73&amp;" = "&amp;I74&amp;" Pkt.; &gt;"&amp;J73&amp;"-"&amp;K73&amp;H73&amp;" = "&amp;J74&amp;" Pkt."</f>
        <v>&gt;1-2% = 0.5 Pkt.; &gt;2-4% = 1 Pkt.</v>
      </c>
      <c r="G74" s="42" t="str">
        <f>+"&gt;"&amp;J73&amp;H73</f>
        <v>&gt;2%</v>
      </c>
      <c r="H74" s="7" t="s">
        <v>87</v>
      </c>
      <c r="I74" s="22">
        <v>0.5</v>
      </c>
      <c r="J74" s="60">
        <v>1</v>
      </c>
      <c r="K74" s="22">
        <v>2</v>
      </c>
      <c r="L74" s="22">
        <v>3</v>
      </c>
      <c r="M74" s="29">
        <f>+J74</f>
        <v>1</v>
      </c>
      <c r="N74" s="10"/>
    </row>
    <row r="75" spans="1:14" ht="16.5" customHeight="1" x14ac:dyDescent="0.25">
      <c r="B75" s="46"/>
      <c r="E75" s="69"/>
      <c r="F75" s="23" t="str">
        <f>+"&gt;"&amp;K73&amp;"-"&amp;L73&amp;H73&amp;" = "&amp;K74&amp;" Pkt.; &gt;"&amp;L73&amp;H73&amp;" = "&amp;L74&amp;" Pkt."</f>
        <v>&gt;4-8% = 2 Pkt.; &gt;8% = 3 Pkt.</v>
      </c>
      <c r="G75" s="42"/>
      <c r="M75" s="29"/>
    </row>
    <row r="76" spans="1:14" ht="4.5" customHeight="1" x14ac:dyDescent="0.25">
      <c r="B76" s="46"/>
      <c r="E76" s="69"/>
      <c r="F76" s="23"/>
      <c r="G76" s="42"/>
      <c r="N76" s="10"/>
    </row>
    <row r="77" spans="1:14" ht="16.5" customHeight="1" x14ac:dyDescent="0.25">
      <c r="A77" s="1" t="s">
        <v>23</v>
      </c>
      <c r="B77" s="43" t="s">
        <v>60</v>
      </c>
      <c r="C77" s="38">
        <v>0</v>
      </c>
      <c r="D77" s="1" t="s">
        <v>76</v>
      </c>
      <c r="E77" s="69">
        <f>+IF(C77&gt;K77,L78,IF(C77=K77,K78,IF(C77=J77,J78,IF(C77=I77,I78,0))))</f>
        <v>0</v>
      </c>
      <c r="F77" s="42" t="str">
        <f>+I77&amp;" "&amp;H77&amp;" = "&amp;I78&amp;" Pkt.; "&amp;J77&amp;" "&amp;H77&amp;" = "&amp;J78&amp;" Pkt."</f>
        <v>2 Tipi = 0.5 Pkt.; 3 Tipi = 1 Pkt.</v>
      </c>
      <c r="G77" s="42" t="str">
        <f>+J77&amp;" "&amp;H77</f>
        <v>3 Tipi</v>
      </c>
      <c r="H77" s="7" t="str">
        <f>+D77</f>
        <v>Tipi</v>
      </c>
      <c r="I77" s="7">
        <v>2</v>
      </c>
      <c r="J77" s="8">
        <v>3</v>
      </c>
      <c r="K77" s="7">
        <v>4</v>
      </c>
      <c r="M77" s="29"/>
    </row>
    <row r="78" spans="1:14" ht="16.5" customHeight="1" x14ac:dyDescent="0.3">
      <c r="B78" s="47"/>
      <c r="E78" s="69"/>
      <c r="F78" s="42" t="str">
        <f>+K77&amp;" "&amp;H77&amp;" = "&amp;K78&amp;" Pkt.; &gt;"&amp;K77&amp;" "&amp;H77&amp;" = "&amp;L78&amp;" Pkt."</f>
        <v>4 Tipi = 2 Pkt.; &gt;4 Tipi = 3 Pkt.</v>
      </c>
      <c r="G78" s="42"/>
      <c r="H78" s="7" t="s">
        <v>87</v>
      </c>
      <c r="I78" s="62">
        <v>0.5</v>
      </c>
      <c r="J78" s="61">
        <v>1</v>
      </c>
      <c r="K78" s="52">
        <v>2</v>
      </c>
      <c r="L78" s="52">
        <v>3</v>
      </c>
      <c r="M78" s="29">
        <f>+J78</f>
        <v>1</v>
      </c>
    </row>
    <row r="79" spans="1:14" ht="4.5" customHeight="1" x14ac:dyDescent="0.25">
      <c r="B79" s="46"/>
      <c r="E79" s="69"/>
      <c r="F79" s="20"/>
      <c r="G79" s="42"/>
      <c r="J79" s="8"/>
      <c r="M79" s="29"/>
      <c r="N79" s="10"/>
    </row>
    <row r="80" spans="1:14" ht="16.5" customHeight="1" x14ac:dyDescent="0.25">
      <c r="A80" s="1" t="s">
        <v>24</v>
      </c>
      <c r="B80" s="43" t="s">
        <v>61</v>
      </c>
      <c r="G80" s="42"/>
    </row>
    <row r="81" spans="1:14" ht="16.5" customHeight="1" x14ac:dyDescent="0.25">
      <c r="B81" s="26" t="s">
        <v>62</v>
      </c>
      <c r="C81" s="38">
        <v>0</v>
      </c>
      <c r="D81" s="1" t="s">
        <v>77</v>
      </c>
      <c r="F81" s="1"/>
      <c r="G81" s="42"/>
      <c r="H81" s="7" t="s">
        <v>88</v>
      </c>
      <c r="I81" s="8">
        <v>20</v>
      </c>
      <c r="J81" s="7">
        <v>40</v>
      </c>
      <c r="K81" s="7">
        <v>60</v>
      </c>
      <c r="L81" s="7">
        <v>80</v>
      </c>
      <c r="M81" s="29"/>
    </row>
    <row r="82" spans="1:14" ht="16.5" customHeight="1" x14ac:dyDescent="0.3">
      <c r="B82" s="48">
        <f>+C81/Rebfläche</f>
        <v>0</v>
      </c>
      <c r="E82" s="69">
        <f>+IF(B82&gt;L81,L82,IF(B82&gt;K81,K82,IF(B82&gt;J81,J82,IF(B82&gt;I81,I82,0))))</f>
        <v>0</v>
      </c>
      <c r="F82" s="20" t="str">
        <f>+"&gt;"&amp;I81&amp;"-"&amp;J81&amp;H81&amp;" = "&amp;I82&amp;" Pkt.; &gt;"&amp;J81&amp;"-"&amp;K81&amp;H81&amp;" = "&amp;J82&amp;" Pkt."</f>
        <v>&gt;20-40 m/ha = 1 Pkt.; &gt;40-60 m/ha = 2 Pkt.</v>
      </c>
      <c r="G82" s="1" t="str">
        <f>+"&gt;"&amp;I81&amp;" "&amp;H81</f>
        <v>&gt;20  m/ha</v>
      </c>
      <c r="H82" s="7" t="s">
        <v>87</v>
      </c>
      <c r="I82" s="60">
        <v>1</v>
      </c>
      <c r="J82" s="22">
        <v>2</v>
      </c>
      <c r="K82" s="22">
        <v>3</v>
      </c>
      <c r="L82" s="22">
        <v>4</v>
      </c>
      <c r="M82" s="29">
        <f>+I82</f>
        <v>1</v>
      </c>
    </row>
    <row r="83" spans="1:14" ht="16.5" customHeight="1" x14ac:dyDescent="0.25">
      <c r="B83" s="46"/>
      <c r="E83" s="69"/>
      <c r="F83" s="20" t="str">
        <f>+"&gt;"&amp;K81&amp;"-"&amp;L81&amp;H81&amp;" = "&amp;K82&amp;" Pkt.; &gt;"&amp;L81&amp;H81&amp;" = "&amp;L82&amp;" Pkt."</f>
        <v>&gt;60-80 m/ha = 3 Pkt.; &gt;80 m/ha = 4 Pkt.</v>
      </c>
      <c r="G83" s="42"/>
      <c r="J83" s="8"/>
      <c r="M83" s="29"/>
      <c r="N83" s="10"/>
    </row>
    <row r="84" spans="1:14" ht="4.5" customHeight="1" x14ac:dyDescent="0.25">
      <c r="B84" s="46"/>
      <c r="E84" s="69"/>
      <c r="F84" s="20"/>
      <c r="G84" s="42"/>
      <c r="J84" s="8"/>
      <c r="M84" s="29"/>
      <c r="N84" s="10"/>
    </row>
    <row r="85" spans="1:14" ht="16.5" customHeight="1" x14ac:dyDescent="0.25">
      <c r="A85" s="1" t="s">
        <v>25</v>
      </c>
      <c r="B85" s="93" t="s">
        <v>63</v>
      </c>
      <c r="C85" s="44">
        <v>0</v>
      </c>
      <c r="D85" s="26" t="s">
        <v>75</v>
      </c>
      <c r="F85" s="1"/>
      <c r="G85" s="1"/>
    </row>
    <row r="86" spans="1:14" ht="33" customHeight="1" x14ac:dyDescent="0.25">
      <c r="B86" s="93"/>
      <c r="F86" s="1"/>
      <c r="G86" s="1"/>
      <c r="H86" s="7" t="s">
        <v>86</v>
      </c>
      <c r="I86" s="8">
        <v>1</v>
      </c>
      <c r="J86" s="7">
        <v>2</v>
      </c>
      <c r="K86" s="7">
        <v>4</v>
      </c>
      <c r="L86" s="7">
        <v>6</v>
      </c>
      <c r="M86" s="29"/>
    </row>
    <row r="87" spans="1:14" ht="16.5" customHeight="1" x14ac:dyDescent="0.3">
      <c r="B87" s="46">
        <f>+C85/Rebfläche*100</f>
        <v>0</v>
      </c>
      <c r="E87" s="69">
        <f>+IF(B87&gt;L86,L87,IF(B87&gt;K86,K87,IF(B87&gt;J86,J87,IF(B87&gt;I86,I87,0))))</f>
        <v>0</v>
      </c>
      <c r="F87" s="25" t="str">
        <f>+"&gt;"&amp;I86&amp;"-"&amp;J86&amp;H86&amp;" = "&amp;I87&amp;" Pkt.; &gt;"&amp;J86&amp;"-"&amp;K86&amp;H86&amp;" = "&amp;J87&amp;" Pkt."</f>
        <v>&gt;1-2% = 1 Pkt.; &gt;2-4% = 2 Pkt.</v>
      </c>
      <c r="G87" s="42" t="str">
        <f>+"&gt;"&amp;I86&amp;H86</f>
        <v>&gt;1%</v>
      </c>
      <c r="H87" s="7" t="s">
        <v>87</v>
      </c>
      <c r="I87" s="60">
        <v>1</v>
      </c>
      <c r="J87" s="22">
        <v>2</v>
      </c>
      <c r="K87" s="22">
        <v>3</v>
      </c>
      <c r="L87" s="22">
        <v>4</v>
      </c>
      <c r="M87" s="29">
        <f>+I87</f>
        <v>1</v>
      </c>
    </row>
    <row r="88" spans="1:14" ht="16.5" customHeight="1" x14ac:dyDescent="0.25">
      <c r="B88" s="46"/>
      <c r="E88" s="69"/>
      <c r="F88" s="25" t="str">
        <f>+"&gt;"&amp;K86&amp;"-"&amp;L86&amp;H86&amp;" = "&amp;K87&amp;" Pkt.; &gt;"&amp;L86&amp;H86&amp;" = "&amp;L87&amp;" Pkt."</f>
        <v>&gt;4-6% = 3 Pkt.; &gt;6% = 4 Pkt.</v>
      </c>
      <c r="G88" s="42"/>
      <c r="J88" s="8"/>
      <c r="M88" s="29"/>
      <c r="N88" s="10"/>
    </row>
    <row r="89" spans="1:14" ht="4.5" customHeight="1" x14ac:dyDescent="0.25">
      <c r="B89" s="46"/>
      <c r="E89" s="69"/>
      <c r="F89" s="20"/>
      <c r="G89" s="42"/>
      <c r="J89" s="8"/>
      <c r="M89" s="29"/>
      <c r="N89" s="10"/>
    </row>
    <row r="90" spans="1:14" ht="16.5" customHeight="1" x14ac:dyDescent="0.25">
      <c r="A90" s="1" t="s">
        <v>26</v>
      </c>
      <c r="B90" s="87" t="s">
        <v>64</v>
      </c>
      <c r="C90" s="38">
        <v>0</v>
      </c>
      <c r="D90" s="1" t="s">
        <v>78</v>
      </c>
      <c r="F90" s="1"/>
      <c r="G90" s="1"/>
    </row>
    <row r="91" spans="1:14" ht="16.5" customHeight="1" x14ac:dyDescent="0.25">
      <c r="B91" s="47">
        <f>+C90/Rebfläche</f>
        <v>0</v>
      </c>
      <c r="E91" s="69">
        <f>+IF(B91&gt;L91,L92,IF(B91&gt;K91,K92,IF(B91&gt;J91,J92,IF(B91&gt;I91,I92,0))))</f>
        <v>0</v>
      </c>
      <c r="F91" s="20" t="str">
        <f>+"&gt;"&amp;I91&amp;"-"&amp;J91&amp;H91&amp;" = "&amp;I92&amp;" Pkt.; &gt;"&amp;J91&amp;"-"&amp;K91&amp;H91&amp;" = "&amp;J92&amp;" Pkt."</f>
        <v>&gt;1-2 pz./ha = 0.5 Pkt.; &gt;2-3 pz./ha = 1 Pkt.</v>
      </c>
      <c r="G91" s="42" t="str">
        <f>+"&gt;"&amp;J91&amp;" "&amp;H91</f>
        <v>&gt;2  pz./ha</v>
      </c>
      <c r="H91" s="7" t="s">
        <v>89</v>
      </c>
      <c r="I91" s="7">
        <v>1</v>
      </c>
      <c r="J91" s="8">
        <v>2</v>
      </c>
      <c r="K91" s="7">
        <v>3</v>
      </c>
      <c r="L91" s="7">
        <v>4</v>
      </c>
      <c r="M91" s="29"/>
    </row>
    <row r="92" spans="1:14" ht="16.5" customHeight="1" x14ac:dyDescent="0.3">
      <c r="B92" s="4"/>
      <c r="E92" s="69"/>
      <c r="F92" s="20" t="str">
        <f>+"&gt;"&amp;K91&amp;"-"&amp;L91&amp;H91&amp;" = "&amp;K92&amp;" Pkt.; &gt;"&amp;L91&amp;H91&amp;" = "&amp;L92&amp;" Pkt."</f>
        <v>&gt;3-4 pz./ha = 1.5 Pkt.; &gt;4 pz./ha = 2 Pkt.</v>
      </c>
      <c r="G92" s="42"/>
      <c r="H92" s="7" t="s">
        <v>87</v>
      </c>
      <c r="I92" s="22">
        <v>0.5</v>
      </c>
      <c r="J92" s="60">
        <v>1</v>
      </c>
      <c r="K92" s="22">
        <v>1.5</v>
      </c>
      <c r="L92" s="22">
        <v>2</v>
      </c>
      <c r="M92" s="29">
        <f>+J92</f>
        <v>1</v>
      </c>
      <c r="N92" s="10"/>
    </row>
    <row r="93" spans="1:14" ht="4.3499999999999996" customHeight="1" x14ac:dyDescent="0.25">
      <c r="B93" s="4"/>
      <c r="E93" s="69"/>
      <c r="F93" s="42"/>
      <c r="G93" s="42"/>
      <c r="M93" s="29"/>
      <c r="N93" s="10"/>
    </row>
    <row r="94" spans="1:14" ht="33" x14ac:dyDescent="0.25">
      <c r="A94" s="1" t="s">
        <v>27</v>
      </c>
      <c r="B94" s="88" t="s">
        <v>65</v>
      </c>
      <c r="C94" s="44">
        <v>0</v>
      </c>
      <c r="D94" s="1" t="s">
        <v>75</v>
      </c>
      <c r="F94" s="1"/>
      <c r="G94" s="1"/>
    </row>
    <row r="95" spans="1:14" ht="16.5" customHeight="1" x14ac:dyDescent="0.25">
      <c r="B95" s="46">
        <f>+C94/C$15*100</f>
        <v>0</v>
      </c>
      <c r="E95" s="69">
        <f>+IF(B95&gt;L95,L96,IF(B95&gt;K95,K96,IF(B95&gt;J95,J96,IF(B95&gt;I95,I96,0))))</f>
        <v>0</v>
      </c>
      <c r="F95" s="36" t="str">
        <f>+"&gt;"&amp;I95&amp;"-"&amp;J95&amp;H95&amp;" = "&amp;I96&amp;" Pkt.; &gt;"&amp;J95&amp;"-"&amp;K95&amp;H95&amp;" = "&amp;J96&amp;" Pkt."</f>
        <v>&gt;20-40% = 1 Pkt.; &gt;40-60% = 2 Pkt.</v>
      </c>
      <c r="G95" s="1"/>
      <c r="H95" s="7" t="s">
        <v>86</v>
      </c>
      <c r="I95" s="8">
        <v>20</v>
      </c>
      <c r="J95" s="7">
        <v>40</v>
      </c>
      <c r="K95" s="7">
        <v>60</v>
      </c>
      <c r="L95" s="7">
        <v>80</v>
      </c>
      <c r="M95" s="29"/>
    </row>
    <row r="96" spans="1:14" ht="16.5" customHeight="1" x14ac:dyDescent="0.3">
      <c r="B96" s="46"/>
      <c r="E96" s="69"/>
      <c r="F96" s="36" t="str">
        <f>+"&gt;"&amp;K95&amp;"-"&amp;L95&amp;H95&amp;" = "&amp;K96&amp;" Pkt.; &gt;"&amp;L95&amp;H95&amp;" = "&amp;L96&amp;" Pkt."</f>
        <v>&gt;60-80% = 3 Pkt.; &gt;80% = 4 Pkt.</v>
      </c>
      <c r="G96" s="42" t="str">
        <f>"&gt;"&amp;I95 &amp; H95</f>
        <v>&gt;20%</v>
      </c>
      <c r="H96" s="7" t="s">
        <v>87</v>
      </c>
      <c r="I96" s="60">
        <v>1</v>
      </c>
      <c r="J96" s="22">
        <v>2</v>
      </c>
      <c r="K96" s="22">
        <v>3</v>
      </c>
      <c r="L96" s="22">
        <v>4</v>
      </c>
      <c r="M96" s="29">
        <f>+I96</f>
        <v>1</v>
      </c>
    </row>
    <row r="97" spans="1:14" ht="16.5" customHeight="1" x14ac:dyDescent="0.25">
      <c r="B97" s="4"/>
      <c r="E97" s="69"/>
      <c r="F97" s="42"/>
      <c r="G97" s="42"/>
      <c r="M97" s="29"/>
      <c r="N97" s="10"/>
    </row>
    <row r="98" spans="1:14" ht="18" x14ac:dyDescent="0.25">
      <c r="A98" s="73" t="s">
        <v>28</v>
      </c>
      <c r="B98" s="6"/>
      <c r="E98" s="69"/>
      <c r="F98" s="5"/>
      <c r="M98" s="29"/>
    </row>
    <row r="99" spans="1:14" ht="4.5" customHeight="1" x14ac:dyDescent="0.25">
      <c r="B99" s="6"/>
      <c r="E99" s="69"/>
      <c r="F99" s="5"/>
      <c r="M99" s="29"/>
    </row>
    <row r="100" spans="1:14" ht="16.5" customHeight="1" x14ac:dyDescent="0.25">
      <c r="A100" s="1" t="s">
        <v>29</v>
      </c>
      <c r="B100" s="43" t="s">
        <v>66</v>
      </c>
      <c r="C100" s="44">
        <v>0</v>
      </c>
      <c r="D100" s="1" t="s">
        <v>75</v>
      </c>
      <c r="E100" s="69"/>
      <c r="F100" s="11"/>
    </row>
    <row r="101" spans="1:14" ht="16.5" customHeight="1" x14ac:dyDescent="0.25">
      <c r="B101" s="46">
        <f>+C100/C$15*100</f>
        <v>0</v>
      </c>
      <c r="E101" s="69">
        <f>+IF(B101&gt;L101,L102,IF(B101&gt;K101,K102,IF(B101&gt;J101,J102,IF(B101&gt;I101,I102,0))))</f>
        <v>0</v>
      </c>
      <c r="F101" s="42" t="str">
        <f>+"&gt;"&amp;I101&amp;"-"&amp;J101&amp;H101&amp;" = "&amp;I102&amp;" Pkt.; &gt;"&amp;J101&amp;"-"&amp;K101&amp;H101&amp;" = "&amp;J102&amp;" Pkt."</f>
        <v>&gt;20-40% = 1 Pkt.; &gt;40-60% = 1.5 Pkt.</v>
      </c>
      <c r="G101" s="42" t="str">
        <f>"&gt;"&amp;J101 &amp; H101</f>
        <v>&gt;40%</v>
      </c>
      <c r="H101" s="7" t="s">
        <v>86</v>
      </c>
      <c r="I101" s="7">
        <v>20</v>
      </c>
      <c r="J101" s="8">
        <v>40</v>
      </c>
      <c r="K101" s="7">
        <v>60</v>
      </c>
      <c r="L101" s="7">
        <v>80</v>
      </c>
      <c r="M101" s="29"/>
    </row>
    <row r="102" spans="1:14" ht="16.5" customHeight="1" x14ac:dyDescent="0.3">
      <c r="B102" s="43"/>
      <c r="C102" s="25"/>
      <c r="E102" s="69"/>
      <c r="F102" s="42" t="str">
        <f>+"&gt;"&amp;K101&amp;"-"&amp;L101&amp;H101&amp;" = "&amp;K102&amp;" Pkt.; &gt;"&amp;L101&amp;H101&amp;" = "&amp;L102&amp;" Pkt."</f>
        <v>&gt;60-80% = 2 Pkt.; &gt;80% = 2.5 Pkt.</v>
      </c>
      <c r="G102" s="42"/>
      <c r="H102" s="7" t="s">
        <v>87</v>
      </c>
      <c r="I102" s="22">
        <v>1</v>
      </c>
      <c r="J102" s="60">
        <v>1.5</v>
      </c>
      <c r="K102" s="22">
        <v>2</v>
      </c>
      <c r="L102" s="22">
        <v>2.5</v>
      </c>
      <c r="M102" s="29">
        <f>+J102</f>
        <v>1.5</v>
      </c>
    </row>
    <row r="103" spans="1:14" ht="4.5" customHeight="1" x14ac:dyDescent="0.25">
      <c r="B103" s="43"/>
      <c r="M103" s="30"/>
    </row>
    <row r="104" spans="1:14" ht="16.350000000000001" customHeight="1" x14ac:dyDescent="0.25">
      <c r="A104" s="1" t="s">
        <v>30</v>
      </c>
      <c r="B104" s="91" t="s">
        <v>67</v>
      </c>
      <c r="C104" s="44">
        <v>0</v>
      </c>
      <c r="D104" s="1" t="s">
        <v>75</v>
      </c>
      <c r="E104" s="69"/>
      <c r="F104" s="1"/>
      <c r="M104" s="29"/>
    </row>
    <row r="105" spans="1:14" ht="16.5" customHeight="1" x14ac:dyDescent="0.25">
      <c r="B105" s="91"/>
      <c r="E105" s="69"/>
      <c r="F105" s="1"/>
      <c r="G105" s="19"/>
    </row>
    <row r="106" spans="1:14" ht="16.5" customHeight="1" x14ac:dyDescent="0.25">
      <c r="B106" s="46">
        <f>+C104/C$15*100</f>
        <v>0</v>
      </c>
      <c r="E106" s="69">
        <f>+IF(B106&gt;L106,L107,IF(B106&gt;K106,K107,IF(B106&gt;J106,J107,IF(B106&gt;I106,I107,0))))</f>
        <v>0</v>
      </c>
      <c r="F106" s="42" t="str">
        <f>+"&gt;"&amp;I106&amp;"-"&amp;J106&amp;H106&amp;" = "&amp;I107&amp;" Pkt.; &gt;"&amp;J106&amp;"-"&amp;K106&amp;H106&amp;" = "&amp;J107&amp;" Pkt."</f>
        <v>&gt;20-40% = 1 Pkt.; &gt;40-60% = 1.5 Pkt.</v>
      </c>
      <c r="G106" s="42" t="str">
        <f>"&gt;" &amp;J106&amp; H106</f>
        <v>&gt;40%</v>
      </c>
      <c r="H106" s="7" t="s">
        <v>86</v>
      </c>
      <c r="I106" s="7">
        <v>20</v>
      </c>
      <c r="J106" s="8">
        <v>40</v>
      </c>
      <c r="K106" s="7">
        <v>60</v>
      </c>
      <c r="L106" s="7">
        <v>80</v>
      </c>
      <c r="M106" s="29"/>
    </row>
    <row r="107" spans="1:14" ht="16.5" customHeight="1" x14ac:dyDescent="0.3">
      <c r="B107" s="46"/>
      <c r="E107" s="69"/>
      <c r="F107" s="42" t="str">
        <f>+"&gt;"&amp;K106&amp;"-"&amp;L106&amp;H106&amp;" = "&amp;K107&amp;" Pkt.; &gt;"&amp;L106&amp;H106&amp;" = "&amp;L107&amp;" Pkt."</f>
        <v>&gt;60-80% = 2 Pkt.; &gt;80% = 2.5 Pkt.</v>
      </c>
      <c r="G107" s="42"/>
      <c r="H107" s="7" t="s">
        <v>87</v>
      </c>
      <c r="I107" s="22">
        <v>1</v>
      </c>
      <c r="J107" s="60">
        <v>1.5</v>
      </c>
      <c r="K107" s="22">
        <v>2</v>
      </c>
      <c r="L107" s="22">
        <v>2.5</v>
      </c>
      <c r="M107" s="29">
        <f>+J107</f>
        <v>1.5</v>
      </c>
    </row>
    <row r="108" spans="1:14" ht="4.5" customHeight="1" x14ac:dyDescent="0.25">
      <c r="B108" s="43"/>
      <c r="E108" s="69"/>
      <c r="M108" s="30"/>
    </row>
    <row r="109" spans="1:14" ht="16.5" customHeight="1" x14ac:dyDescent="0.25">
      <c r="A109" s="1" t="s">
        <v>31</v>
      </c>
      <c r="B109" s="91" t="s">
        <v>68</v>
      </c>
      <c r="C109" s="44">
        <v>0</v>
      </c>
      <c r="D109" s="1" t="s">
        <v>75</v>
      </c>
      <c r="E109" s="69"/>
      <c r="F109" s="1"/>
      <c r="G109" s="25"/>
      <c r="M109" s="29"/>
    </row>
    <row r="110" spans="1:14" ht="16.5" customHeight="1" x14ac:dyDescent="0.25">
      <c r="B110" s="91"/>
      <c r="E110" s="69"/>
      <c r="F110" s="1"/>
      <c r="G110" s="25"/>
      <c r="M110" s="29"/>
    </row>
    <row r="111" spans="1:14" ht="16.5" customHeight="1" x14ac:dyDescent="0.25">
      <c r="B111" s="46">
        <f>+C109/C$15*100</f>
        <v>0</v>
      </c>
      <c r="E111" s="69">
        <f>+IF(B111&gt;L111,L112,IF(B111&gt;K111,K112,IF(B111&gt;J111,J112,IF(B111&gt;I111,I112,0))))</f>
        <v>0</v>
      </c>
      <c r="F111" s="42" t="str">
        <f>+"&gt;"&amp;I111&amp;"-"&amp;J111&amp;H111&amp;" = "&amp;I112&amp;" Pkt.; &gt;"&amp;J111&amp;"-"&amp;K111&amp;H111&amp;" = "&amp;J112&amp;" Pkt."</f>
        <v>&gt;20-40% = 1.5 Pkt.; &gt;40-60% = 2 Pkt.</v>
      </c>
      <c r="G111" s="42"/>
      <c r="H111" s="7" t="s">
        <v>86</v>
      </c>
      <c r="I111" s="7">
        <v>20</v>
      </c>
      <c r="J111" s="7">
        <v>40</v>
      </c>
      <c r="K111" s="7">
        <v>60</v>
      </c>
      <c r="L111" s="7">
        <v>80</v>
      </c>
      <c r="M111" s="29"/>
    </row>
    <row r="112" spans="1:14" ht="16.5" customHeight="1" x14ac:dyDescent="0.3">
      <c r="B112" s="46"/>
      <c r="E112" s="69"/>
      <c r="F112" s="42" t="str">
        <f>+"&gt;"&amp;K111&amp;"-"&amp;L111&amp;H111&amp;" = "&amp;K112&amp;" Pkt.; &gt;"&amp;L111&amp;H111&amp;" = "&amp;L112&amp;" Pkt."</f>
        <v>&gt;60-80% = 2.5 Pkt.; &gt;80% = 3 Pkt.</v>
      </c>
      <c r="G112" s="42"/>
      <c r="H112" s="7" t="s">
        <v>87</v>
      </c>
      <c r="I112" s="22">
        <v>1.5</v>
      </c>
      <c r="J112" s="22">
        <v>2</v>
      </c>
      <c r="K112" s="22">
        <v>2.5</v>
      </c>
      <c r="L112" s="22">
        <v>3</v>
      </c>
    </row>
    <row r="113" spans="1:15" ht="16.5" customHeight="1" x14ac:dyDescent="0.25">
      <c r="B113" s="46" t="s">
        <v>69</v>
      </c>
      <c r="E113" s="69">
        <f>+MAX(E106,E111)</f>
        <v>0</v>
      </c>
      <c r="F113" s="25"/>
      <c r="G113" s="25"/>
      <c r="M113" s="29"/>
    </row>
    <row r="114" spans="1:15" ht="4.5" customHeight="1" x14ac:dyDescent="0.25">
      <c r="B114" s="46"/>
      <c r="E114" s="69"/>
      <c r="F114" s="20"/>
      <c r="G114" s="20"/>
      <c r="J114" s="8"/>
      <c r="M114" s="29"/>
      <c r="N114" s="10"/>
    </row>
    <row r="115" spans="1:15" ht="16.5" customHeight="1" x14ac:dyDescent="0.25">
      <c r="A115" s="1" t="s">
        <v>32</v>
      </c>
      <c r="B115" s="46" t="s">
        <v>70</v>
      </c>
      <c r="C115" s="44">
        <v>0</v>
      </c>
      <c r="D115" s="1" t="s">
        <v>75</v>
      </c>
      <c r="E115" s="69"/>
      <c r="F115" s="36"/>
      <c r="G115" s="36"/>
    </row>
    <row r="116" spans="1:15" ht="16.5" customHeight="1" x14ac:dyDescent="0.25">
      <c r="B116" s="46">
        <f>+C115/C$15*100</f>
        <v>0</v>
      </c>
      <c r="E116" s="69">
        <f>+IF(B116&gt;K116,K117,IF(B116&gt;J116,J117,IF(B116&gt;I116,I117,0)))</f>
        <v>0</v>
      </c>
      <c r="F116" s="36" t="str">
        <f>+"&gt;"&amp;I116&amp;"-"&amp;J116&amp;H116&amp;" = "&amp;I117&amp;" Pkt.; &gt;"&amp;J116&amp;"-"&amp;K116&amp;H116&amp;" = "&amp;J117&amp;" Pkt."</f>
        <v>&gt;2-5% = 1 Pkt.; &gt;5-10% = 2 Pkt.</v>
      </c>
      <c r="G116" s="42" t="str">
        <f>"&gt;"&amp;I116 &amp; H116</f>
        <v>&gt;2%</v>
      </c>
      <c r="H116" s="7" t="s">
        <v>86</v>
      </c>
      <c r="I116" s="8">
        <v>2</v>
      </c>
      <c r="J116" s="7">
        <v>5</v>
      </c>
      <c r="K116" s="7">
        <v>10</v>
      </c>
      <c r="M116" s="29"/>
      <c r="N116" s="10"/>
    </row>
    <row r="117" spans="1:15" ht="16.5" customHeight="1" x14ac:dyDescent="0.3">
      <c r="B117" s="25"/>
      <c r="F117" s="36" t="str">
        <f>+"&gt;"&amp;K116&amp;H116&amp;" = "&amp;K117&amp;" Pkt."</f>
        <v>&gt;10% = 3 Pkt.</v>
      </c>
      <c r="G117" s="36"/>
      <c r="H117" s="7" t="s">
        <v>87</v>
      </c>
      <c r="I117" s="60">
        <v>1</v>
      </c>
      <c r="J117" s="22">
        <v>2</v>
      </c>
      <c r="K117" s="22">
        <v>3</v>
      </c>
      <c r="M117" s="29">
        <f>+I117</f>
        <v>1</v>
      </c>
    </row>
    <row r="118" spans="1:15" ht="16.350000000000001" customHeight="1" x14ac:dyDescent="0.25">
      <c r="B118" s="5"/>
      <c r="E118" s="69"/>
      <c r="F118" s="5"/>
      <c r="M118" s="29"/>
    </row>
    <row r="119" spans="1:15" ht="18" x14ac:dyDescent="0.25">
      <c r="A119" s="3" t="s">
        <v>33</v>
      </c>
      <c r="B119" s="5"/>
      <c r="F119" s="5"/>
      <c r="M119" s="29"/>
    </row>
    <row r="120" spans="1:15" ht="4.5" customHeight="1" x14ac:dyDescent="0.25">
      <c r="A120" s="3"/>
      <c r="B120" s="5"/>
      <c r="F120" s="5"/>
      <c r="M120" s="29"/>
    </row>
    <row r="121" spans="1:15" ht="16.5" customHeight="1" x14ac:dyDescent="0.25">
      <c r="A121" s="1" t="s">
        <v>34</v>
      </c>
      <c r="B121" s="4" t="s">
        <v>71</v>
      </c>
      <c r="C121" s="38" t="s">
        <v>74</v>
      </c>
      <c r="E121" s="69">
        <f>+IF(C121="ja",I121,0)</f>
        <v>0</v>
      </c>
      <c r="F121" s="1" t="s">
        <v>83</v>
      </c>
      <c r="G121" s="42"/>
      <c r="H121" s="7" t="s">
        <v>87</v>
      </c>
      <c r="I121" s="33">
        <v>0.5</v>
      </c>
      <c r="M121" s="29"/>
    </row>
    <row r="122" spans="1:15" ht="16.5" customHeight="1" x14ac:dyDescent="0.25">
      <c r="B122" s="46"/>
      <c r="E122" s="1"/>
      <c r="F122" s="20"/>
      <c r="M122" s="29"/>
    </row>
    <row r="123" spans="1:15" ht="4.5" customHeight="1" x14ac:dyDescent="0.25">
      <c r="B123" s="49"/>
    </row>
    <row r="124" spans="1:15" ht="16.5" customHeight="1" x14ac:dyDescent="0.25">
      <c r="A124" s="1" t="s">
        <v>35</v>
      </c>
      <c r="B124" s="43" t="s">
        <v>72</v>
      </c>
      <c r="C124" s="38">
        <v>0</v>
      </c>
      <c r="D124" s="1" t="s">
        <v>79</v>
      </c>
      <c r="F124" s="2" t="s">
        <v>84</v>
      </c>
    </row>
    <row r="125" spans="1:15" x14ac:dyDescent="0.25">
      <c r="B125" s="43" t="s">
        <v>73</v>
      </c>
    </row>
    <row r="127" spans="1:15" s="14" customFormat="1" ht="20.25" x14ac:dyDescent="0.25">
      <c r="A127" s="12" t="s">
        <v>36</v>
      </c>
      <c r="B127" s="13"/>
      <c r="C127" s="12"/>
      <c r="D127" s="12"/>
      <c r="E127" s="71" t="str">
        <f>IF(I52=1,H127,"Requisiti fondamentali non soddisfatti; "&amp;H127&amp;" punti")</f>
        <v>Requisiti fondamentali non soddisfatti; 0 punti</v>
      </c>
      <c r="F127" s="13"/>
      <c r="G127" s="12"/>
      <c r="H127" s="7">
        <f>SUM(E55:E101,E113:E125,C124)</f>
        <v>0</v>
      </c>
      <c r="I127" s="8"/>
      <c r="J127" s="8"/>
      <c r="K127" s="8"/>
      <c r="L127" s="8"/>
      <c r="M127" s="34">
        <f>SUM(M54:M126)</f>
        <v>16.5</v>
      </c>
      <c r="O127" s="64"/>
    </row>
  </sheetData>
  <sheetProtection selectLockedCells="1"/>
  <mergeCells count="11">
    <mergeCell ref="I54:L54"/>
    <mergeCell ref="B109:B110"/>
    <mergeCell ref="B104:B105"/>
    <mergeCell ref="B52:F52"/>
    <mergeCell ref="B23:B24"/>
    <mergeCell ref="B49:B50"/>
    <mergeCell ref="B85:B86"/>
    <mergeCell ref="B56:B57"/>
    <mergeCell ref="B32:B33"/>
    <mergeCell ref="B26:B27"/>
    <mergeCell ref="B29:B30"/>
  </mergeCells>
  <conditionalFormatting sqref="M52 B52:G52">
    <cfRule type="expression" dxfId="3" priority="4">
      <formula>$I$52=1</formula>
    </cfRule>
    <cfRule type="expression" dxfId="2" priority="5">
      <formula>"G24=1"</formula>
    </cfRule>
    <cfRule type="iconSet" priority="6">
      <iconSet iconSet="3Arrows">
        <cfvo type="percent" val="0"/>
        <cfvo type="percent" val="33"/>
        <cfvo type="percent" val="67"/>
      </iconSet>
    </cfRule>
  </conditionalFormatting>
  <dataValidations count="4">
    <dataValidation type="list" allowBlank="1" showInputMessage="1" showErrorMessage="1" errorTitle="Valore errato" error="Indicare sì o no_x000a_" sqref="C23 C26 C21 C32 C38 C35:C36 C29 C41 C47 C49 C45 C121">
      <formula1>"sì, no"</formula1>
    </dataValidation>
    <dataValidation type="decimal" allowBlank="1" showInputMessage="1" showErrorMessage="1" errorTitle="Valore non valido" error="Il valore massimo è 3_x000a_" promptTitle="Valore da perizia" sqref="C124">
      <formula1>0</formula1>
      <formula2>3</formula2>
    </dataValidation>
    <dataValidation type="decimal" allowBlank="1" showInputMessage="1" showErrorMessage="1" errorTitle="Valore non valido" error="Digitare un valore non superiore alla superficie viticola" promptTitle="N. ha" sqref="C61 C104 C115 C100 C94 C73 C109 C65 C56 C85">
      <formula1>0</formula1>
      <formula2>C$15</formula2>
    </dataValidation>
    <dataValidation type="whole" allowBlank="1" showInputMessage="1" showErrorMessage="1" errorTitle="Valore non valido" error="Digitare un valore numerico" sqref="C90 C81 C69 C77">
      <formula1>0</formula1>
      <formula2>999999</formula2>
    </dataValidation>
  </dataValidations>
  <pageMargins left="0.25" right="0.25" top="0.75" bottom="0.75" header="0.3" footer="0.3"/>
  <pageSetup paperSize="9" scale="39" orientation="portrait" r:id="rId1"/>
  <rowBreaks count="2" manualBreakCount="2">
    <brk id="52" max="16383" man="1"/>
    <brk id="9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7"/>
  <sheetViews>
    <sheetView zoomScaleNormal="100" workbookViewId="0">
      <pane ySplit="10470" topLeftCell="A67"/>
      <selection activeCell="C7" sqref="C7"/>
      <selection pane="bottomLeft" activeCell="B150" sqref="B150"/>
    </sheetView>
  </sheetViews>
  <sheetFormatPr baseColWidth="10" defaultColWidth="9.140625" defaultRowHeight="16.5" x14ac:dyDescent="0.25"/>
  <cols>
    <col min="1" max="1" width="4.42578125" style="1" customWidth="1"/>
    <col min="2" max="2" width="38.140625" style="42" customWidth="1"/>
    <col min="3" max="3" width="9.140625" style="1"/>
    <col min="4" max="4" width="5.42578125" style="1" customWidth="1"/>
    <col min="5" max="5" width="6.42578125" style="65" customWidth="1"/>
    <col min="6" max="6" width="34.42578125" style="42" customWidth="1"/>
    <col min="7" max="7" width="9.42578125" style="42" bestFit="1" customWidth="1"/>
    <col min="8" max="12" width="5.85546875" style="7" customWidth="1"/>
    <col min="13" max="13" width="7.42578125" style="27" customWidth="1"/>
    <col min="14" max="14" width="5.85546875" style="1" customWidth="1"/>
    <col min="15" max="16384" width="9.140625" style="1"/>
  </cols>
  <sheetData>
    <row r="1" spans="1:15" ht="58.5" customHeight="1" x14ac:dyDescent="0.25">
      <c r="I1" s="7" t="s">
        <v>95</v>
      </c>
      <c r="N1" s="59">
        <f>COUNTA(C7,C9,C11,C13)+SUM(vitic,C56,C61,C65,C69,C73,C77,C81,C85,C90,C94,C100,C104,C109,C115,C121,C124)-10+SUM(C23="oui",C26="oui", C29="oui", C41="oui", C21="oui", C32="oui", C35="oui", C38="oui", C45="oui",C47="oui",C49="oui")</f>
        <v>0</v>
      </c>
      <c r="O1" s="59" t="s">
        <v>96</v>
      </c>
    </row>
    <row r="2" spans="1:15" ht="23.25" x14ac:dyDescent="0.25">
      <c r="A2" s="15" t="s">
        <v>97</v>
      </c>
    </row>
    <row r="3" spans="1:15" ht="23.25" x14ac:dyDescent="0.25">
      <c r="A3" s="15" t="s">
        <v>98</v>
      </c>
    </row>
    <row r="4" spans="1:15" ht="23.25" x14ac:dyDescent="0.3">
      <c r="A4" s="16" t="s">
        <v>99</v>
      </c>
      <c r="B4" s="1"/>
      <c r="D4" s="41"/>
    </row>
    <row r="5" spans="1:15" x14ac:dyDescent="0.25">
      <c r="D5" s="17"/>
    </row>
    <row r="6" spans="1:15" ht="18" x14ac:dyDescent="0.25">
      <c r="A6" s="3" t="s">
        <v>100</v>
      </c>
    </row>
    <row r="7" spans="1:15" ht="16.5" customHeight="1" x14ac:dyDescent="0.25">
      <c r="B7" s="50" t="s">
        <v>101</v>
      </c>
      <c r="C7" s="38"/>
      <c r="D7" s="39"/>
      <c r="E7" s="66"/>
    </row>
    <row r="8" spans="1:15" ht="4.5" customHeight="1" x14ac:dyDescent="0.25">
      <c r="B8" s="50"/>
      <c r="D8" s="40"/>
      <c r="E8" s="67"/>
    </row>
    <row r="9" spans="1:15" ht="16.5" customHeight="1" x14ac:dyDescent="0.25">
      <c r="B9" s="50" t="s">
        <v>102</v>
      </c>
      <c r="C9" s="38"/>
      <c r="D9" s="39"/>
      <c r="E9" s="66"/>
    </row>
    <row r="10" spans="1:15" ht="4.5" customHeight="1" x14ac:dyDescent="0.25">
      <c r="B10" s="50"/>
    </row>
    <row r="11" spans="1:15" ht="16.5" customHeight="1" x14ac:dyDescent="0.25">
      <c r="B11" s="50" t="s">
        <v>103</v>
      </c>
      <c r="C11" s="38"/>
    </row>
    <row r="12" spans="1:15" ht="4.5" customHeight="1" x14ac:dyDescent="0.25">
      <c r="B12" s="50"/>
    </row>
    <row r="13" spans="1:15" ht="16.5" customHeight="1" x14ac:dyDescent="0.25">
      <c r="B13" s="50" t="s">
        <v>104</v>
      </c>
      <c r="C13" s="38"/>
    </row>
    <row r="14" spans="1:15" ht="4.5" customHeight="1" x14ac:dyDescent="0.25">
      <c r="B14" s="50"/>
      <c r="C14" s="1" t="s">
        <v>105</v>
      </c>
    </row>
    <row r="15" spans="1:15" ht="16.5" customHeight="1" x14ac:dyDescent="0.25">
      <c r="B15" s="50" t="s">
        <v>106</v>
      </c>
      <c r="C15" s="44">
        <v>10</v>
      </c>
      <c r="D15" s="1" t="s">
        <v>107</v>
      </c>
    </row>
    <row r="16" spans="1:15" ht="4.5" customHeight="1" x14ac:dyDescent="0.25">
      <c r="B16" s="74"/>
    </row>
    <row r="17" spans="1:6" ht="33" customHeight="1" x14ac:dyDescent="0.25">
      <c r="B17" s="85" t="s">
        <v>108</v>
      </c>
      <c r="C17" s="86">
        <v>0</v>
      </c>
      <c r="D17" s="26" t="s">
        <v>107</v>
      </c>
      <c r="E17" s="82">
        <f>C17/vitic</f>
        <v>0</v>
      </c>
      <c r="F17" s="80" t="s">
        <v>109</v>
      </c>
    </row>
    <row r="18" spans="1:6" ht="16.350000000000001" customHeight="1" x14ac:dyDescent="0.25"/>
    <row r="19" spans="1:6" ht="18" x14ac:dyDescent="0.25">
      <c r="A19" s="3" t="s">
        <v>110</v>
      </c>
    </row>
    <row r="20" spans="1:6" ht="4.5" customHeight="1" x14ac:dyDescent="0.25"/>
    <row r="21" spans="1:6" ht="17.100000000000001" customHeight="1" x14ac:dyDescent="0.25">
      <c r="A21" s="26" t="s">
        <v>111</v>
      </c>
      <c r="B21" s="53" t="s">
        <v>112</v>
      </c>
      <c r="C21" s="38" t="s">
        <v>113</v>
      </c>
    </row>
    <row r="22" spans="1:6" ht="4.5" customHeight="1" x14ac:dyDescent="0.25"/>
    <row r="23" spans="1:6" ht="16.5" customHeight="1" x14ac:dyDescent="0.25">
      <c r="A23" s="26" t="s">
        <v>114</v>
      </c>
      <c r="B23" s="91" t="s">
        <v>115</v>
      </c>
      <c r="C23" s="38" t="s">
        <v>113</v>
      </c>
    </row>
    <row r="24" spans="1:6" ht="34.5" customHeight="1" x14ac:dyDescent="0.25">
      <c r="A24" s="26"/>
      <c r="B24" s="91"/>
    </row>
    <row r="25" spans="1:6" ht="4.5" customHeight="1" x14ac:dyDescent="0.25">
      <c r="A25" s="26"/>
      <c r="B25" s="50"/>
    </row>
    <row r="26" spans="1:6" ht="16.5" customHeight="1" x14ac:dyDescent="0.25">
      <c r="A26" s="26" t="s">
        <v>116</v>
      </c>
      <c r="B26" s="91" t="s">
        <v>117</v>
      </c>
      <c r="C26" s="38" t="s">
        <v>113</v>
      </c>
    </row>
    <row r="27" spans="1:6" ht="18" customHeight="1" x14ac:dyDescent="0.25">
      <c r="A27" s="26"/>
      <c r="B27" s="91"/>
    </row>
    <row r="28" spans="1:6" ht="4.5" customHeight="1" x14ac:dyDescent="0.25">
      <c r="A28" s="26"/>
      <c r="B28" s="53"/>
    </row>
    <row r="29" spans="1:6" ht="16.5" customHeight="1" x14ac:dyDescent="0.25">
      <c r="A29" s="26" t="s">
        <v>118</v>
      </c>
      <c r="B29" s="91" t="s">
        <v>119</v>
      </c>
      <c r="C29" s="38" t="s">
        <v>113</v>
      </c>
      <c r="F29" s="24"/>
    </row>
    <row r="30" spans="1:6" ht="17.25" customHeight="1" x14ac:dyDescent="0.25">
      <c r="A30" s="26"/>
      <c r="B30" s="91"/>
      <c r="F30" s="24"/>
    </row>
    <row r="31" spans="1:6" ht="4.3499999999999996" customHeight="1" x14ac:dyDescent="0.25">
      <c r="A31" s="26"/>
      <c r="B31" s="53"/>
    </row>
    <row r="32" spans="1:6" ht="16.350000000000001" customHeight="1" x14ac:dyDescent="0.25">
      <c r="A32" s="26" t="s">
        <v>120</v>
      </c>
      <c r="B32" s="91" t="s">
        <v>121</v>
      </c>
      <c r="C32" s="38" t="s">
        <v>113</v>
      </c>
    </row>
    <row r="33" spans="1:9" ht="36.75" customHeight="1" x14ac:dyDescent="0.25">
      <c r="A33" s="26"/>
      <c r="B33" s="91"/>
    </row>
    <row r="34" spans="1:9" ht="4.3499999999999996" customHeight="1" x14ac:dyDescent="0.25">
      <c r="A34" s="26"/>
      <c r="B34" s="53"/>
      <c r="C34" s="42"/>
      <c r="F34" s="1"/>
    </row>
    <row r="35" spans="1:9" ht="16.350000000000001" customHeight="1" x14ac:dyDescent="0.25">
      <c r="A35" s="26" t="s">
        <v>122</v>
      </c>
      <c r="B35" s="91" t="s">
        <v>123</v>
      </c>
      <c r="C35" s="38" t="s">
        <v>113</v>
      </c>
    </row>
    <row r="36" spans="1:9" ht="17.25" customHeight="1" x14ac:dyDescent="0.25">
      <c r="A36" s="26"/>
      <c r="B36" s="91"/>
    </row>
    <row r="37" spans="1:9" ht="4.5" customHeight="1" x14ac:dyDescent="0.25">
      <c r="A37" s="26"/>
      <c r="B37" s="50"/>
    </row>
    <row r="38" spans="1:9" ht="16.350000000000001" customHeight="1" x14ac:dyDescent="0.25">
      <c r="A38" s="26" t="s">
        <v>124</v>
      </c>
      <c r="B38" s="91" t="s">
        <v>125</v>
      </c>
      <c r="C38" s="38" t="s">
        <v>113</v>
      </c>
    </row>
    <row r="39" spans="1:9" ht="18" customHeight="1" x14ac:dyDescent="0.25">
      <c r="B39" s="91"/>
    </row>
    <row r="40" spans="1:9" ht="4.3499999999999996" customHeight="1" x14ac:dyDescent="0.25"/>
    <row r="41" spans="1:9" ht="16.5" customHeight="1" x14ac:dyDescent="0.25">
      <c r="A41" s="26" t="s">
        <v>126</v>
      </c>
      <c r="B41" s="50" t="s">
        <v>127</v>
      </c>
      <c r="C41" s="38" t="s">
        <v>113</v>
      </c>
    </row>
    <row r="42" spans="1:9" ht="4.5" customHeight="1" x14ac:dyDescent="0.25">
      <c r="A42" s="26"/>
      <c r="B42" s="50"/>
    </row>
    <row r="43" spans="1:9" ht="51" customHeight="1" x14ac:dyDescent="0.25">
      <c r="A43" s="26" t="s">
        <v>128</v>
      </c>
      <c r="B43" s="42" t="s">
        <v>129</v>
      </c>
      <c r="C43" s="1" t="str">
        <f>+IF(E43&gt;0.035,"oui", "non")</f>
        <v>non</v>
      </c>
      <c r="E43" s="68">
        <f>+(haiesQII+haiesQI+autresQII+autresQI)/vitic+IF(biodivQII&gt;vitic/100,0.01,biodivQII/vitic)</f>
        <v>0</v>
      </c>
      <c r="F43" s="63" t="s">
        <v>130</v>
      </c>
      <c r="I43" s="7" t="s">
        <v>131</v>
      </c>
    </row>
    <row r="44" spans="1:9" ht="4.5" customHeight="1" x14ac:dyDescent="0.25">
      <c r="A44" s="26"/>
    </row>
    <row r="45" spans="1:9" ht="16.5" customHeight="1" x14ac:dyDescent="0.25">
      <c r="A45" s="26" t="s">
        <v>132</v>
      </c>
      <c r="B45" s="42" t="s">
        <v>133</v>
      </c>
      <c r="C45" s="38" t="s">
        <v>113</v>
      </c>
      <c r="E45" s="69"/>
      <c r="F45" s="24"/>
    </row>
    <row r="46" spans="1:9" ht="4.5" customHeight="1" x14ac:dyDescent="0.25">
      <c r="A46" s="17"/>
      <c r="B46" s="53"/>
      <c r="E46" s="69"/>
      <c r="F46" s="24"/>
    </row>
    <row r="47" spans="1:9" ht="33" x14ac:dyDescent="0.25">
      <c r="A47" s="26" t="s">
        <v>134</v>
      </c>
      <c r="B47" s="89" t="s">
        <v>135</v>
      </c>
      <c r="C47" s="38" t="s">
        <v>113</v>
      </c>
      <c r="E47" s="69"/>
      <c r="F47" s="24"/>
    </row>
    <row r="48" spans="1:9" ht="4.5" customHeight="1" x14ac:dyDescent="0.25">
      <c r="A48" s="26"/>
      <c r="B48" s="50"/>
      <c r="E48" s="69"/>
      <c r="F48" s="24"/>
    </row>
    <row r="49" spans="1:13" ht="16.5" customHeight="1" x14ac:dyDescent="0.25">
      <c r="A49" s="26" t="s">
        <v>136</v>
      </c>
      <c r="B49" s="91" t="s">
        <v>137</v>
      </c>
      <c r="C49" s="38" t="s">
        <v>113</v>
      </c>
    </row>
    <row r="50" spans="1:13" ht="18" customHeight="1" x14ac:dyDescent="0.25">
      <c r="A50" s="26"/>
      <c r="B50" s="91"/>
    </row>
    <row r="51" spans="1:13" ht="4.5" customHeight="1" x14ac:dyDescent="0.25">
      <c r="B51" s="21"/>
    </row>
    <row r="52" spans="1:13" ht="31.5" customHeight="1" x14ac:dyDescent="0.25">
      <c r="B52" s="92" t="str">
        <f>+IF(I52=1,"Exigences de base remplies", "Attention, toutes les exigences de base ne sont pas remplies")</f>
        <v>Attention, toutes les exigences de base ne sont pas remplies</v>
      </c>
      <c r="C52" s="92"/>
      <c r="D52" s="92"/>
      <c r="E52" s="92"/>
      <c r="F52" s="92"/>
      <c r="G52" s="51"/>
      <c r="I52" s="35">
        <f>+IF(AND(C23="oui",C26="oui", C29="oui", C43="oui", C21="oui", C32="oui", C38="oui", C35="oui", C41="oui", C45="oui",C47="oui",C49="oui"),1,0)</f>
        <v>0</v>
      </c>
      <c r="M52" s="28"/>
    </row>
    <row r="53" spans="1:13" ht="18" x14ac:dyDescent="0.3">
      <c r="A53" s="3" t="s">
        <v>138</v>
      </c>
      <c r="H53" s="31"/>
      <c r="I53" s="31" t="s">
        <v>139</v>
      </c>
      <c r="J53" s="31"/>
      <c r="K53" s="31"/>
      <c r="L53" s="31"/>
      <c r="M53" s="37" t="s">
        <v>140</v>
      </c>
    </row>
    <row r="54" spans="1:13" ht="16.5" customHeight="1" x14ac:dyDescent="0.3">
      <c r="E54" s="65" t="s">
        <v>141</v>
      </c>
      <c r="F54" s="42" t="s">
        <v>142</v>
      </c>
      <c r="G54" s="63" t="s">
        <v>143</v>
      </c>
      <c r="I54" s="90" t="s">
        <v>144</v>
      </c>
      <c r="J54" s="90"/>
      <c r="K54" s="90"/>
      <c r="L54" s="90"/>
    </row>
    <row r="55" spans="1:13" ht="4.5" customHeight="1" x14ac:dyDescent="0.25"/>
    <row r="56" spans="1:13" ht="16.5" customHeight="1" x14ac:dyDescent="0.25">
      <c r="A56" s="26" t="s">
        <v>145</v>
      </c>
      <c r="B56" s="91" t="s">
        <v>146</v>
      </c>
      <c r="C56" s="44">
        <v>0</v>
      </c>
      <c r="D56" s="1" t="s">
        <v>107</v>
      </c>
      <c r="F56" s="1"/>
      <c r="G56" s="1"/>
    </row>
    <row r="57" spans="1:13" ht="16.5" customHeight="1" x14ac:dyDescent="0.25">
      <c r="A57" s="26"/>
      <c r="B57" s="91"/>
      <c r="F57" s="1"/>
      <c r="G57" s="1"/>
      <c r="H57" s="7" t="s">
        <v>147</v>
      </c>
      <c r="I57" s="7">
        <v>7</v>
      </c>
      <c r="J57" s="7">
        <v>15</v>
      </c>
      <c r="K57" s="8">
        <v>30</v>
      </c>
      <c r="L57" s="7">
        <v>60</v>
      </c>
    </row>
    <row r="58" spans="1:13" ht="16.5" customHeight="1" x14ac:dyDescent="0.3">
      <c r="A58" s="26"/>
      <c r="B58" s="54">
        <f>+C56/C$15*100</f>
        <v>0</v>
      </c>
      <c r="E58" s="69">
        <f>+IF(B58&gt;L57,L58,IF(B58&gt;K57,K58,IF(B58&gt;J57,J58,IF(B58&gt;I57,I58,0))))</f>
        <v>0</v>
      </c>
      <c r="F58" s="42" t="str">
        <f>+"&gt;"&amp;I57&amp;"-"&amp;J57&amp;H57&amp;" = "&amp;I58&amp;" Pts.; &gt;"&amp;J57&amp;"-"&amp;K57&amp;H57&amp;" = "&amp;J58&amp;" Pts"</f>
        <v>&gt;7-15% = 1 Pts.; &gt;15-30% = 2 Pts</v>
      </c>
      <c r="G58" s="42" t="str">
        <f>+"&gt;"&amp;K57&amp;H57</f>
        <v>&gt;30%</v>
      </c>
      <c r="H58" s="7" t="s">
        <v>148</v>
      </c>
      <c r="I58" s="22">
        <v>1</v>
      </c>
      <c r="J58" s="22">
        <v>2</v>
      </c>
      <c r="K58" s="60">
        <v>3</v>
      </c>
      <c r="L58" s="22">
        <v>4</v>
      </c>
      <c r="M58" s="29">
        <f>+K58</f>
        <v>3</v>
      </c>
    </row>
    <row r="59" spans="1:13" ht="16.5" customHeight="1" x14ac:dyDescent="0.25">
      <c r="A59" s="26"/>
      <c r="B59" s="46"/>
      <c r="E59" s="69"/>
      <c r="F59" s="42" t="str">
        <f>+"&gt;"&amp;K57&amp;"-"&amp;L57&amp;H57&amp;" = "&amp;K58&amp;" Pts; &gt;"&amp;L57&amp;H57&amp;" = "&amp;L58&amp;" Pts"</f>
        <v>&gt;30-60% = 3 Pts; &gt;60% = 4 Pts</v>
      </c>
      <c r="J59" s="8"/>
      <c r="M59" s="29"/>
    </row>
    <row r="60" spans="1:13" ht="4.5" customHeight="1" x14ac:dyDescent="0.25">
      <c r="A60" s="26"/>
      <c r="B60" s="46"/>
      <c r="E60" s="69"/>
      <c r="J60" s="8"/>
      <c r="M60" s="29"/>
    </row>
    <row r="61" spans="1:13" ht="16.5" customHeight="1" x14ac:dyDescent="0.25">
      <c r="A61" s="26" t="s">
        <v>149</v>
      </c>
      <c r="B61" s="50" t="s">
        <v>150</v>
      </c>
      <c r="C61" s="44">
        <v>0</v>
      </c>
      <c r="D61" s="1" t="s">
        <v>107</v>
      </c>
      <c r="F61" s="1"/>
      <c r="G61" s="1"/>
      <c r="H61" s="7" t="s">
        <v>147</v>
      </c>
      <c r="I61" s="8">
        <v>0.5</v>
      </c>
      <c r="J61" s="7">
        <v>1.5</v>
      </c>
      <c r="K61" s="7">
        <v>2.5</v>
      </c>
      <c r="L61" s="7">
        <v>4</v>
      </c>
      <c r="M61" s="29"/>
    </row>
    <row r="62" spans="1:13" ht="16.5" customHeight="1" x14ac:dyDescent="0.3">
      <c r="A62" s="26"/>
      <c r="B62" s="54">
        <f>+C61/C$15*100</f>
        <v>0</v>
      </c>
      <c r="E62" s="69">
        <f>+IF(B62&gt;L61,L62,IF(B62&gt;K61,K62,IF(B62&gt;J61,J62,IF(B62&gt;I61,I62,0))))</f>
        <v>0</v>
      </c>
      <c r="F62" s="42" t="str">
        <f>+"&gt;"&amp;I61&amp;"-"&amp;J61&amp;H61&amp;" = "&amp;I62&amp;" Pts; &gt;"&amp;J61&amp;"-"&amp;K61&amp;H61&amp;" = "&amp;J62&amp;" Pts"</f>
        <v>&gt;0.5-1.5% = 1 Pts; &gt;1.5-2.5% = 2 Pts</v>
      </c>
      <c r="G62" s="42" t="str">
        <f>+"&gt;"&amp;I61&amp;H61</f>
        <v>&gt;0.5%</v>
      </c>
      <c r="H62" s="7" t="s">
        <v>148</v>
      </c>
      <c r="I62" s="60">
        <v>1</v>
      </c>
      <c r="J62" s="22">
        <v>2</v>
      </c>
      <c r="K62" s="22">
        <v>4</v>
      </c>
      <c r="L62" s="22">
        <v>6</v>
      </c>
      <c r="M62" s="29">
        <f>+I62</f>
        <v>1</v>
      </c>
    </row>
    <row r="63" spans="1:13" ht="16.5" customHeight="1" x14ac:dyDescent="0.25">
      <c r="A63" s="26"/>
      <c r="B63" s="46"/>
      <c r="E63" s="69"/>
      <c r="F63" s="42" t="str">
        <f>+"&gt;"&amp;K61&amp;"-"&amp;L61&amp;H61&amp;" = "&amp;K62&amp;" Pts; &gt;"&amp;L61&amp;H61&amp;" = "&amp;L62&amp;" Pts"</f>
        <v>&gt;2.5-4% = 4 Pts; &gt;4% = 6 Pts</v>
      </c>
      <c r="M63" s="29"/>
    </row>
    <row r="64" spans="1:13" ht="4.5" customHeight="1" x14ac:dyDescent="0.25">
      <c r="A64" s="26"/>
      <c r="B64" s="46"/>
      <c r="E64" s="69"/>
      <c r="M64" s="29"/>
    </row>
    <row r="65" spans="1:13" ht="16.5" customHeight="1" x14ac:dyDescent="0.3">
      <c r="A65" s="26" t="s">
        <v>151</v>
      </c>
      <c r="B65" s="50" t="s">
        <v>152</v>
      </c>
      <c r="C65" s="44">
        <v>0</v>
      </c>
      <c r="D65" s="1" t="s">
        <v>107</v>
      </c>
      <c r="F65" s="1"/>
      <c r="G65" s="1"/>
      <c r="H65" s="31" t="s">
        <v>147</v>
      </c>
      <c r="I65" s="31">
        <v>1</v>
      </c>
      <c r="J65" s="32">
        <v>2</v>
      </c>
      <c r="K65" s="31">
        <v>4</v>
      </c>
      <c r="L65" s="31">
        <v>8</v>
      </c>
      <c r="M65" s="29"/>
    </row>
    <row r="66" spans="1:13" ht="16.5" customHeight="1" x14ac:dyDescent="0.3">
      <c r="A66" s="26"/>
      <c r="B66" s="54">
        <f>+C65/vitic*100</f>
        <v>0</v>
      </c>
      <c r="E66" s="69">
        <f>+IF(B66&gt;L65,L66,IF(B66&gt;K65,K66,IF(B66&gt;J65,J66,IF(B66&gt;I65,I66,0))))</f>
        <v>0</v>
      </c>
      <c r="F66" s="42" t="str">
        <f>+"&gt;"&amp;I65&amp;"-"&amp;J65&amp;H65&amp;" = "&amp;I66&amp;" Pts; &gt;"&amp;J65&amp;"-"&amp;K65&amp;H65&amp;" = "&amp;J66&amp;" Pts"</f>
        <v>&gt;1-2% = 1 Pts; &gt;2-4% = 2 Pts</v>
      </c>
      <c r="G66" s="42" t="str">
        <f>+"&gt;"&amp;J65&amp;H65</f>
        <v>&gt;2%</v>
      </c>
      <c r="H66" s="7" t="s">
        <v>148</v>
      </c>
      <c r="I66" s="22">
        <v>1</v>
      </c>
      <c r="J66" s="60">
        <v>2</v>
      </c>
      <c r="K66" s="22">
        <v>4</v>
      </c>
      <c r="L66" s="22">
        <v>6</v>
      </c>
      <c r="M66" s="29">
        <f>+J66</f>
        <v>2</v>
      </c>
    </row>
    <row r="67" spans="1:13" ht="16.5" customHeight="1" x14ac:dyDescent="0.25">
      <c r="A67" s="26"/>
      <c r="B67" s="46"/>
      <c r="E67" s="69"/>
      <c r="F67" s="42" t="str">
        <f>+"&gt;"&amp;K65&amp;"-"&amp;L65&amp;H65&amp;" = "&amp;K66&amp;" Pts; &gt;"&amp;L65&amp;H65&amp;" = "&amp;L66&amp;" Pts"</f>
        <v>&gt;4-8% = 4 Pts; &gt;8% = 6 Pts</v>
      </c>
      <c r="M67" s="29"/>
    </row>
    <row r="68" spans="1:13" ht="4.5" customHeight="1" x14ac:dyDescent="0.25">
      <c r="A68" s="26"/>
      <c r="B68" s="46"/>
      <c r="E68" s="69"/>
      <c r="M68" s="29"/>
    </row>
    <row r="69" spans="1:13" ht="16.5" customHeight="1" x14ac:dyDescent="0.3">
      <c r="A69" s="26" t="s">
        <v>153</v>
      </c>
      <c r="B69" s="50" t="s">
        <v>154</v>
      </c>
      <c r="C69" s="44">
        <v>0</v>
      </c>
      <c r="D69" s="1" t="s">
        <v>107</v>
      </c>
      <c r="F69" s="1"/>
      <c r="G69" s="1"/>
      <c r="H69" s="31" t="s">
        <v>147</v>
      </c>
      <c r="I69" s="8">
        <v>0.5</v>
      </c>
      <c r="J69" s="7">
        <v>1.5</v>
      </c>
      <c r="K69" s="7">
        <v>2.5</v>
      </c>
      <c r="L69" s="7">
        <v>4</v>
      </c>
    </row>
    <row r="70" spans="1:13" ht="16.5" customHeight="1" x14ac:dyDescent="0.3">
      <c r="A70" s="26"/>
      <c r="B70" s="54">
        <f>+C69/C$15*100</f>
        <v>0</v>
      </c>
      <c r="E70" s="69">
        <f>+IF(B70&gt;L69,L70,IF(B70&gt;K69,K70,IF(B70&gt;J69,J70,IF(B70&gt;I69,I70,0))))</f>
        <v>0</v>
      </c>
      <c r="F70" s="42" t="str">
        <f>+"&gt;"&amp;I69&amp;"-"&amp;J69&amp;H69&amp;" = "&amp;I70&amp;" Pts; &gt;"&amp;J69&amp;"-"&amp;K69&amp;H69&amp;" = "&amp;J70&amp;" Pts"</f>
        <v>&gt;0.5-1.5% = 0.5 Pts; &gt;1.5-2.5% = 1 Pts</v>
      </c>
      <c r="G70" s="42" t="str">
        <f>+"&gt;"&amp;I69&amp;H69</f>
        <v>&gt;0.5%</v>
      </c>
      <c r="H70" s="7" t="s">
        <v>155</v>
      </c>
      <c r="I70" s="60">
        <v>0.5</v>
      </c>
      <c r="J70" s="22">
        <v>1</v>
      </c>
      <c r="K70" s="22">
        <v>2</v>
      </c>
      <c r="L70" s="22">
        <v>3</v>
      </c>
      <c r="M70" s="29">
        <f>+I70</f>
        <v>0.5</v>
      </c>
    </row>
    <row r="71" spans="1:13" ht="16.5" customHeight="1" x14ac:dyDescent="0.25">
      <c r="A71" s="26"/>
      <c r="B71" s="46"/>
      <c r="E71" s="69"/>
      <c r="F71" s="42" t="str">
        <f>+"&gt;"&amp;K69&amp;"-"&amp;L69&amp;H69&amp;" = "&amp;K70&amp;" Pts; &gt;"&amp;L69&amp;H69&amp;" = "&amp;L70&amp;" Pts"</f>
        <v>&gt;2.5-4% = 2 Pts; &gt;4% = 3 Pts</v>
      </c>
      <c r="M71" s="30"/>
    </row>
    <row r="72" spans="1:13" ht="4.5" customHeight="1" x14ac:dyDescent="0.25">
      <c r="A72" s="26"/>
      <c r="B72" s="46"/>
      <c r="E72" s="69"/>
      <c r="M72" s="30"/>
    </row>
    <row r="73" spans="1:13" ht="16.5" customHeight="1" x14ac:dyDescent="0.3">
      <c r="A73" s="26" t="s">
        <v>156</v>
      </c>
      <c r="B73" s="50" t="s">
        <v>157</v>
      </c>
      <c r="C73" s="44">
        <v>0</v>
      </c>
      <c r="D73" s="1" t="s">
        <v>107</v>
      </c>
      <c r="F73" s="1"/>
      <c r="G73" s="1"/>
      <c r="H73" s="31" t="s">
        <v>147</v>
      </c>
      <c r="I73" s="31">
        <v>1</v>
      </c>
      <c r="J73" s="32">
        <v>2</v>
      </c>
      <c r="K73" s="31">
        <v>4</v>
      </c>
      <c r="L73" s="31">
        <v>8</v>
      </c>
      <c r="M73" s="30"/>
    </row>
    <row r="74" spans="1:13" ht="16.5" customHeight="1" x14ac:dyDescent="0.3">
      <c r="A74" s="26"/>
      <c r="B74" s="54">
        <f>+C73/vitic*100</f>
        <v>0</v>
      </c>
      <c r="E74" s="69">
        <f>+IF(B74&gt;L73,L74,IF(B74&gt;K73,K74,IF(B74&gt;J73,J74,IF(B74&gt;I73,I74,0))))</f>
        <v>0</v>
      </c>
      <c r="F74" s="42" t="str">
        <f>+"&gt;"&amp;I73&amp;"-"&amp;J73&amp;H73&amp;" = "&amp;I74&amp;" Pts; &gt;"&amp;J73&amp;"-"&amp;K73&amp;H73&amp;" = "&amp;J74&amp;" Pts"</f>
        <v>&gt;1-2% = 0.5 Pts; &gt;2-4% = 1 Pts</v>
      </c>
      <c r="G74" s="42" t="str">
        <f>+"&gt;"&amp;J73&amp;H73</f>
        <v>&gt;2%</v>
      </c>
      <c r="H74" s="7" t="s">
        <v>155</v>
      </c>
      <c r="I74" s="22">
        <v>0.5</v>
      </c>
      <c r="J74" s="60">
        <v>1</v>
      </c>
      <c r="K74" s="22">
        <v>2</v>
      </c>
      <c r="L74" s="22">
        <v>3</v>
      </c>
      <c r="M74" s="29">
        <f>+J74</f>
        <v>1</v>
      </c>
    </row>
    <row r="75" spans="1:13" ht="16.5" customHeight="1" x14ac:dyDescent="0.25">
      <c r="A75" s="26"/>
      <c r="B75" s="46"/>
      <c r="E75" s="69"/>
      <c r="F75" s="42" t="str">
        <f>+"&gt;"&amp;K73&amp;"-"&amp;L73&amp;H73&amp;" = "&amp;K74&amp;" Pts; &gt;"&amp;L73&amp;H73&amp;" = "&amp;L74&amp;" Pts"</f>
        <v>&gt;4-8% = 2 Pts; &gt;8% = 3 Pts</v>
      </c>
      <c r="M75" s="29"/>
    </row>
    <row r="76" spans="1:13" ht="4.5" customHeight="1" x14ac:dyDescent="0.25">
      <c r="A76" s="26"/>
      <c r="B76" s="46"/>
      <c r="E76" s="69"/>
    </row>
    <row r="77" spans="1:13" ht="16.5" customHeight="1" x14ac:dyDescent="0.25">
      <c r="A77" s="26" t="s">
        <v>158</v>
      </c>
      <c r="B77" s="50" t="s">
        <v>159</v>
      </c>
      <c r="C77" s="38">
        <v>0</v>
      </c>
      <c r="D77" s="26" t="s">
        <v>160</v>
      </c>
      <c r="E77" s="69">
        <f>+IF(C77&gt;K77,L78,IF(C77=K77,K78,IF(C77=J77,J78,IF(C77=I77,I78,0))))</f>
        <v>0</v>
      </c>
      <c r="F77" s="42" t="str">
        <f>+I77&amp;" "&amp;H77&amp;" = "&amp;I78&amp;" Pts; "&amp;J77&amp;" "&amp;H77&amp;" = "&amp;J78&amp;" Pts"</f>
        <v>2 types = 0.5 Pts; 3 types = 1 Pts</v>
      </c>
      <c r="G77" s="42" t="str">
        <f>+J77&amp;" "&amp;H77</f>
        <v>3 types</v>
      </c>
      <c r="H77" s="7" t="str">
        <f>+D77</f>
        <v>types</v>
      </c>
      <c r="I77" s="7">
        <v>2</v>
      </c>
      <c r="J77" s="8">
        <v>3</v>
      </c>
      <c r="K77" s="7">
        <v>4</v>
      </c>
      <c r="M77" s="29"/>
    </row>
    <row r="78" spans="1:13" ht="16.5" customHeight="1" x14ac:dyDescent="0.3">
      <c r="A78" s="26"/>
      <c r="B78" s="56"/>
      <c r="E78" s="69"/>
      <c r="F78" s="42" t="str">
        <f>+K77&amp;" "&amp;H77&amp;" = "&amp;K78&amp;" Pts; &gt;"&amp;K77&amp;" "&amp;H77&amp;" = "&amp;L78&amp;" Pts"</f>
        <v>4 types = 2 Pts; &gt;4 types = 3 Pts</v>
      </c>
      <c r="H78" s="7" t="s">
        <v>155</v>
      </c>
      <c r="I78" s="62">
        <v>0.5</v>
      </c>
      <c r="J78" s="61">
        <v>1</v>
      </c>
      <c r="K78" s="52">
        <v>2</v>
      </c>
      <c r="L78" s="52">
        <v>3</v>
      </c>
      <c r="M78" s="29">
        <v>1</v>
      </c>
    </row>
    <row r="79" spans="1:13" ht="4.5" customHeight="1" x14ac:dyDescent="0.25">
      <c r="A79" s="26"/>
      <c r="B79" s="46"/>
      <c r="E79" s="69"/>
      <c r="J79" s="8"/>
      <c r="M79" s="29"/>
    </row>
    <row r="80" spans="1:13" ht="16.5" customHeight="1" x14ac:dyDescent="0.25">
      <c r="A80" s="26" t="s">
        <v>161</v>
      </c>
      <c r="B80" s="50" t="s">
        <v>162</v>
      </c>
    </row>
    <row r="81" spans="1:13" ht="16.5" customHeight="1" x14ac:dyDescent="0.25">
      <c r="A81" s="26"/>
      <c r="B81" s="26" t="s">
        <v>163</v>
      </c>
      <c r="C81" s="38">
        <v>0</v>
      </c>
      <c r="D81" s="1" t="s">
        <v>164</v>
      </c>
      <c r="F81" s="1"/>
      <c r="H81" s="7" t="s">
        <v>165</v>
      </c>
      <c r="I81" s="8">
        <v>20</v>
      </c>
      <c r="J81" s="7">
        <v>40</v>
      </c>
      <c r="K81" s="7">
        <v>60</v>
      </c>
      <c r="L81" s="7">
        <v>80</v>
      </c>
      <c r="M81" s="29"/>
    </row>
    <row r="82" spans="1:13" ht="16.5" customHeight="1" x14ac:dyDescent="0.3">
      <c r="A82" s="26"/>
      <c r="B82" s="55">
        <f>+C81/vitic</f>
        <v>0</v>
      </c>
      <c r="E82" s="69">
        <f>+IF(B82&gt;L81,L82,IF(B82&gt;K81,K82,IF(B82&gt;J81,J82,IF(B82&gt;I81,I82,0))))</f>
        <v>0</v>
      </c>
      <c r="F82" s="42" t="str">
        <f>+"&gt;"&amp;I81&amp;"-"&amp;J81&amp;H81&amp;" = "&amp;I82&amp;" Pts; &gt;"&amp;J81&amp;"-"&amp;K81&amp;H81&amp;" = "&amp;J82&amp;" Pts"</f>
        <v>&gt;20-40 m/ha = 1 Pts; &gt;40-60 m/ha = 2 Pts</v>
      </c>
      <c r="G82" s="1" t="str">
        <f>+"&gt;"&amp;I81&amp;" "&amp;H81</f>
        <v>&gt;20  m/ha</v>
      </c>
      <c r="H82" s="7" t="s">
        <v>155</v>
      </c>
      <c r="I82" s="60">
        <v>1</v>
      </c>
      <c r="J82" s="22">
        <v>2</v>
      </c>
      <c r="K82" s="22">
        <v>3</v>
      </c>
      <c r="L82" s="22">
        <v>4</v>
      </c>
      <c r="M82" s="29">
        <f>+I82</f>
        <v>1</v>
      </c>
    </row>
    <row r="83" spans="1:13" ht="16.5" customHeight="1" x14ac:dyDescent="0.25">
      <c r="A83" s="26"/>
      <c r="B83" s="46"/>
      <c r="E83" s="69"/>
      <c r="F83" s="42" t="str">
        <f>+"&gt;"&amp;K81&amp;"-"&amp;L81&amp;H81&amp;" = "&amp;K82&amp;" Pts; &gt;"&amp;L81&amp;H81&amp;" = "&amp;L82&amp;" Pts"</f>
        <v>&gt;60-80 m/ha = 3 Pts; &gt;80 m/ha = 4 Pts</v>
      </c>
      <c r="J83" s="8"/>
      <c r="M83" s="29"/>
    </row>
    <row r="84" spans="1:13" ht="4.5" customHeight="1" x14ac:dyDescent="0.25">
      <c r="A84" s="26"/>
      <c r="B84" s="46"/>
      <c r="E84" s="69"/>
      <c r="J84" s="8"/>
      <c r="M84" s="29"/>
    </row>
    <row r="85" spans="1:13" ht="16.5" customHeight="1" x14ac:dyDescent="0.25">
      <c r="A85" s="26" t="s">
        <v>166</v>
      </c>
      <c r="B85" s="91" t="s">
        <v>167</v>
      </c>
      <c r="C85" s="44">
        <v>0</v>
      </c>
      <c r="D85" s="26" t="s">
        <v>107</v>
      </c>
      <c r="F85" s="1"/>
      <c r="G85" s="1"/>
    </row>
    <row r="86" spans="1:13" ht="16.5" customHeight="1" x14ac:dyDescent="0.25">
      <c r="A86" s="26"/>
      <c r="B86" s="91"/>
      <c r="F86" s="1"/>
      <c r="G86" s="1"/>
      <c r="H86" s="7" t="s">
        <v>147</v>
      </c>
      <c r="I86" s="8">
        <v>1</v>
      </c>
      <c r="J86" s="7">
        <v>2</v>
      </c>
      <c r="K86" s="7">
        <v>4</v>
      </c>
      <c r="L86" s="7">
        <v>6</v>
      </c>
      <c r="M86" s="29"/>
    </row>
    <row r="87" spans="1:13" ht="16.5" customHeight="1" x14ac:dyDescent="0.3">
      <c r="A87" s="26"/>
      <c r="B87" s="54">
        <f>+C85/vitic*100</f>
        <v>0</v>
      </c>
      <c r="E87" s="69">
        <f>+IF(B87&gt;L86,L87,IF(B87&gt;K86,K87,IF(B87&gt;J86,J87,IF(B87&gt;I86,I87,0))))</f>
        <v>0</v>
      </c>
      <c r="F87" s="42" t="str">
        <f>+"&gt;"&amp;I86&amp;"-"&amp;J86&amp;H86&amp;" = "&amp;I87&amp;" Pts; &gt;"&amp;J86&amp;"-"&amp;K86&amp;H86&amp;" = "&amp;J87&amp;" Pts"</f>
        <v>&gt;1-2% = 1 Pts; &gt;2-4% = 2 Pts</v>
      </c>
      <c r="G87" s="42" t="str">
        <f>+"&gt;"&amp;I86&amp;H86</f>
        <v>&gt;1%</v>
      </c>
      <c r="H87" s="7" t="s">
        <v>155</v>
      </c>
      <c r="I87" s="60">
        <v>1</v>
      </c>
      <c r="J87" s="22">
        <v>2</v>
      </c>
      <c r="K87" s="22">
        <v>3</v>
      </c>
      <c r="L87" s="22">
        <v>4</v>
      </c>
      <c r="M87" s="29">
        <f>+I87</f>
        <v>1</v>
      </c>
    </row>
    <row r="88" spans="1:13" ht="16.5" customHeight="1" x14ac:dyDescent="0.25">
      <c r="A88" s="26"/>
      <c r="B88" s="46"/>
      <c r="E88" s="69"/>
      <c r="F88" s="42" t="str">
        <f>+"&gt;"&amp;K86&amp;"-"&amp;L86&amp;H86&amp;" = "&amp;K87&amp;" Pts; &gt;"&amp;L86&amp;H86&amp;" = "&amp;L87&amp;" Pts"</f>
        <v>&gt;4-6% = 3 Pts; &gt;6% = 4 Pts</v>
      </c>
      <c r="J88" s="8"/>
      <c r="M88" s="29"/>
    </row>
    <row r="89" spans="1:13" ht="4.5" customHeight="1" x14ac:dyDescent="0.25">
      <c r="A89" s="26"/>
      <c r="B89" s="46"/>
      <c r="E89" s="69"/>
      <c r="J89" s="8"/>
      <c r="M89" s="29"/>
    </row>
    <row r="90" spans="1:13" ht="16.5" customHeight="1" x14ac:dyDescent="0.25">
      <c r="A90" s="26" t="s">
        <v>168</v>
      </c>
      <c r="B90" s="50" t="s">
        <v>169</v>
      </c>
      <c r="C90" s="38">
        <v>0</v>
      </c>
      <c r="D90" s="1" t="s">
        <v>170</v>
      </c>
      <c r="F90" s="1"/>
      <c r="G90" s="1"/>
    </row>
    <row r="91" spans="1:13" ht="16.5" customHeight="1" x14ac:dyDescent="0.25">
      <c r="A91" s="26"/>
      <c r="B91" s="72">
        <f>+C90/vitic</f>
        <v>0</v>
      </c>
      <c r="E91" s="69">
        <f>+IF(B91&gt;L91,L92,IF(B91&gt;K91,K92,IF(B91&gt;J91,J92,IF(B91&gt;I91,I92,0))))</f>
        <v>0</v>
      </c>
      <c r="F91" s="42" t="str">
        <f>+"&gt;"&amp;I91&amp;"-"&amp;J91&amp;H91&amp;" = "&amp;I92&amp;" Pts; &gt;"&amp;J91&amp;"-"&amp;K91&amp;H91&amp;" = "&amp;J92&amp;" Pts"</f>
        <v>&gt;1-2/ha = 0.5 Pts; &gt;2-3/ha = 1 Pts</v>
      </c>
      <c r="G91" s="42" t="str">
        <f>+"&gt;"&amp;J92&amp;" "&amp;H91</f>
        <v>&gt;1 /ha</v>
      </c>
      <c r="H91" s="7" t="s">
        <v>171</v>
      </c>
      <c r="I91" s="7">
        <v>1</v>
      </c>
      <c r="J91" s="8">
        <v>2</v>
      </c>
      <c r="K91" s="7">
        <v>3</v>
      </c>
      <c r="L91" s="7">
        <v>4</v>
      </c>
      <c r="M91" s="29"/>
    </row>
    <row r="92" spans="1:13" ht="16.5" customHeight="1" x14ac:dyDescent="0.3">
      <c r="B92" s="4"/>
      <c r="E92" s="69"/>
      <c r="F92" s="42" t="str">
        <f>+"&gt;"&amp;K91&amp;"-"&amp;L91&amp;H91&amp;" = "&amp;K92&amp;" Pts; &gt;"&amp;L91&amp;H91&amp;" = "&amp;L92&amp;" Pts"</f>
        <v>&gt;3-4/ha = 1.5 Pts; &gt;4/ha = 2 Pts</v>
      </c>
      <c r="H92" s="7" t="s">
        <v>155</v>
      </c>
      <c r="I92" s="22">
        <v>0.5</v>
      </c>
      <c r="J92" s="60">
        <v>1</v>
      </c>
      <c r="K92" s="22">
        <v>1.5</v>
      </c>
      <c r="L92" s="22">
        <v>2</v>
      </c>
      <c r="M92" s="29">
        <v>1</v>
      </c>
    </row>
    <row r="93" spans="1:13" ht="4.5" customHeight="1" x14ac:dyDescent="0.25">
      <c r="A93" s="26"/>
      <c r="B93" s="46"/>
      <c r="E93" s="69"/>
    </row>
    <row r="94" spans="1:13" ht="16.5" customHeight="1" x14ac:dyDescent="0.25">
      <c r="A94" s="26" t="s">
        <v>172</v>
      </c>
      <c r="B94" s="81" t="s">
        <v>173</v>
      </c>
      <c r="C94" s="44">
        <v>0</v>
      </c>
      <c r="D94" s="1" t="s">
        <v>107</v>
      </c>
      <c r="F94" s="1"/>
      <c r="G94" s="1"/>
    </row>
    <row r="95" spans="1:13" ht="16.5" customHeight="1" x14ac:dyDescent="0.25">
      <c r="A95" s="26"/>
      <c r="B95" s="54">
        <f>+C94/C$15*100</f>
        <v>0</v>
      </c>
      <c r="E95" s="69">
        <f>+IF(B95&gt;L95,L96,IF(B95&gt;K95,K96,IF(B95&gt;J95,J96,IF(B95&gt;I95,I96,0))))</f>
        <v>0</v>
      </c>
      <c r="F95" s="42" t="str">
        <f>+"&gt;"&amp;I95&amp;"-"&amp;J95&amp;H95&amp;" = "&amp;I96&amp;" Pts; &gt;"&amp;J95&amp;"-"&amp;K95&amp;H95&amp;" = "&amp;J96&amp;" Pts"</f>
        <v>&gt;20-40% = 1 Pts; &gt;40-60% = 2 Pts</v>
      </c>
      <c r="G95" s="1"/>
      <c r="H95" s="7" t="s">
        <v>147</v>
      </c>
      <c r="I95" s="8">
        <v>20</v>
      </c>
      <c r="J95" s="7">
        <v>40</v>
      </c>
      <c r="K95" s="7">
        <v>60</v>
      </c>
      <c r="L95" s="7">
        <v>80</v>
      </c>
      <c r="M95" s="29"/>
    </row>
    <row r="96" spans="1:13" ht="16.5" customHeight="1" x14ac:dyDescent="0.3">
      <c r="A96" s="26"/>
      <c r="B96" s="46"/>
      <c r="E96" s="69"/>
      <c r="F96" s="42" t="str">
        <f>+"&gt;"&amp;K95&amp;"-"&amp;L95&amp;H95&amp;" = "&amp;K96&amp;" Pts; &gt;"&amp;L95&amp;H95&amp;" = "&amp;L96&amp;" Pts"</f>
        <v>&gt;60-80% = 3 Pts; &gt;80% = 4 Pts</v>
      </c>
      <c r="G96" s="42" t="str">
        <f>"&gt;"&amp;I95 &amp; H95</f>
        <v>&gt;20%</v>
      </c>
      <c r="H96" s="7" t="s">
        <v>155</v>
      </c>
      <c r="I96" s="79">
        <v>1</v>
      </c>
      <c r="J96" s="22">
        <v>2</v>
      </c>
      <c r="K96" s="22">
        <v>3</v>
      </c>
      <c r="L96" s="22">
        <v>4</v>
      </c>
      <c r="M96" s="29">
        <v>1</v>
      </c>
    </row>
    <row r="97" spans="1:13" ht="16.350000000000001" customHeight="1" x14ac:dyDescent="0.25">
      <c r="E97" s="69"/>
    </row>
    <row r="98" spans="1:13" ht="18" x14ac:dyDescent="0.25">
      <c r="A98" s="75" t="s">
        <v>174</v>
      </c>
      <c r="B98" s="76"/>
      <c r="C98" s="77"/>
      <c r="D98" s="77"/>
      <c r="E98" s="78"/>
      <c r="M98" s="29"/>
    </row>
    <row r="99" spans="1:13" ht="4.5" customHeight="1" x14ac:dyDescent="0.25">
      <c r="B99" s="6"/>
      <c r="E99" s="69"/>
      <c r="M99" s="29"/>
    </row>
    <row r="100" spans="1:13" ht="16.5" customHeight="1" x14ac:dyDescent="0.25">
      <c r="A100" s="26" t="s">
        <v>175</v>
      </c>
      <c r="B100" s="50" t="s">
        <v>176</v>
      </c>
      <c r="C100" s="44">
        <v>0</v>
      </c>
      <c r="D100" s="1" t="s">
        <v>107</v>
      </c>
      <c r="E100" s="69"/>
      <c r="M100" s="29"/>
    </row>
    <row r="101" spans="1:13" ht="16.5" customHeight="1" x14ac:dyDescent="0.25">
      <c r="A101" s="26"/>
      <c r="B101" s="54">
        <f>+C100/C$15*100</f>
        <v>0</v>
      </c>
      <c r="E101" s="69">
        <f>+IF(B101&gt;L101,L102,IF(B101&gt;K101,K102,IF(B101&gt;J101,J102,IF(B101&gt;I101,I102,0))))</f>
        <v>0</v>
      </c>
      <c r="F101" s="42" t="str">
        <f>+"&gt;"&amp;I101&amp;"-"&amp;J101&amp;H101&amp;" = "&amp;I102&amp;" Pts; &gt;"&amp;J101&amp;"-"&amp;K101&amp;H101&amp;" = "&amp;J102&amp;" Pts"</f>
        <v>&gt;20-40% = 1 Pts; &gt;40-60% = 1.5 Pts</v>
      </c>
      <c r="G101" s="42" t="str">
        <f>"&gt;"&amp;J101 &amp; H101</f>
        <v>&gt;40%</v>
      </c>
      <c r="H101" s="7" t="s">
        <v>147</v>
      </c>
      <c r="I101" s="7">
        <v>20</v>
      </c>
      <c r="J101" s="8">
        <v>40</v>
      </c>
      <c r="K101" s="7">
        <v>60</v>
      </c>
      <c r="L101" s="7">
        <v>80</v>
      </c>
      <c r="M101" s="29"/>
    </row>
    <row r="102" spans="1:13" ht="16.5" customHeight="1" x14ac:dyDescent="0.3">
      <c r="A102" s="26"/>
      <c r="B102" s="50"/>
      <c r="C102" s="42"/>
      <c r="E102" s="69"/>
      <c r="F102" s="42" t="str">
        <f>+"&gt;"&amp;K101&amp;"-"&amp;L101&amp;H101&amp;" = "&amp;K102&amp;" Pts; &gt;"&amp;L101&amp;H101&amp;" = "&amp;L102&amp;" Pts"</f>
        <v>&gt;60-80% = 2 Pts; &gt;80% = 2.5 Pts</v>
      </c>
      <c r="H102" s="7" t="s">
        <v>155</v>
      </c>
      <c r="I102" s="22">
        <v>1</v>
      </c>
      <c r="J102" s="60">
        <v>1.5</v>
      </c>
      <c r="K102" s="22">
        <v>2</v>
      </c>
      <c r="L102" s="22">
        <v>2.5</v>
      </c>
      <c r="M102" s="29">
        <f>+J102</f>
        <v>1.5</v>
      </c>
    </row>
    <row r="103" spans="1:13" ht="4.5" customHeight="1" x14ac:dyDescent="0.25">
      <c r="A103" s="26"/>
      <c r="B103" s="50"/>
      <c r="M103" s="30"/>
    </row>
    <row r="104" spans="1:13" ht="16.5" customHeight="1" x14ac:dyDescent="0.25">
      <c r="A104" s="26" t="s">
        <v>177</v>
      </c>
      <c r="B104" s="91" t="s">
        <v>178</v>
      </c>
      <c r="C104" s="44">
        <v>0</v>
      </c>
      <c r="D104" s="1" t="s">
        <v>107</v>
      </c>
      <c r="E104" s="69"/>
      <c r="F104" s="1"/>
      <c r="M104" s="29"/>
    </row>
    <row r="105" spans="1:13" ht="18" customHeight="1" x14ac:dyDescent="0.25">
      <c r="A105" s="26"/>
      <c r="B105" s="91"/>
      <c r="E105" s="69"/>
      <c r="F105" s="1"/>
    </row>
    <row r="106" spans="1:13" ht="16.5" customHeight="1" x14ac:dyDescent="0.25">
      <c r="A106" s="26"/>
      <c r="B106" s="54">
        <f>+C104/C$15*100</f>
        <v>0</v>
      </c>
      <c r="E106" s="70">
        <f>+IF(B106&gt;L106,L107,IF(B106&gt;K106,K107,IF(B106&gt;J106,J107,IF(B106&gt;I106,I107,0))))</f>
        <v>0</v>
      </c>
      <c r="F106" s="42" t="str">
        <f>+"&gt;"&amp;I106&amp;"-"&amp;J106&amp;H106&amp;" = "&amp;I107&amp;" Pts; &gt;"&amp;J106&amp;"-"&amp;K106&amp;H106&amp;" = "&amp;J107&amp;" Pts"</f>
        <v>&gt;20-40% = 1 Pts; &gt;40-60% = 1.5 Pts</v>
      </c>
      <c r="G106" s="42" t="str">
        <f>"&gt;" &amp;J106&amp; H106</f>
        <v>&gt;40%</v>
      </c>
      <c r="H106" s="7" t="s">
        <v>147</v>
      </c>
      <c r="I106" s="7">
        <v>20</v>
      </c>
      <c r="J106" s="8">
        <v>40</v>
      </c>
      <c r="K106" s="7">
        <v>60</v>
      </c>
      <c r="L106" s="7">
        <v>80</v>
      </c>
      <c r="M106" s="29"/>
    </row>
    <row r="107" spans="1:13" ht="16.5" customHeight="1" x14ac:dyDescent="0.3">
      <c r="A107" s="26"/>
      <c r="B107" s="46"/>
      <c r="E107" s="70"/>
      <c r="F107" s="42" t="str">
        <f>+"&gt;"&amp;K106&amp;"-"&amp;L106&amp;H106&amp;" = "&amp;K107&amp;" Pts; &gt;"&amp;L106&amp;H106&amp;" = "&amp;L107&amp;" Pts"</f>
        <v>&gt;60-80% = 2 Pts; &gt;80% = 2.5 Pts</v>
      </c>
      <c r="H107" s="7" t="s">
        <v>155</v>
      </c>
      <c r="I107" s="22">
        <v>1</v>
      </c>
      <c r="J107" s="60">
        <v>1.5</v>
      </c>
      <c r="K107" s="22">
        <v>2</v>
      </c>
      <c r="L107" s="22">
        <v>2.5</v>
      </c>
      <c r="M107" s="29">
        <f>+J107</f>
        <v>1.5</v>
      </c>
    </row>
    <row r="108" spans="1:13" ht="4.5" customHeight="1" x14ac:dyDescent="0.25">
      <c r="A108" s="26"/>
      <c r="B108" s="50"/>
      <c r="E108" s="70"/>
      <c r="M108" s="30"/>
    </row>
    <row r="109" spans="1:13" ht="16.5" customHeight="1" x14ac:dyDescent="0.25">
      <c r="A109" s="26" t="s">
        <v>179</v>
      </c>
      <c r="B109" s="91" t="s">
        <v>180</v>
      </c>
      <c r="C109" s="44">
        <v>0</v>
      </c>
      <c r="D109" s="1" t="s">
        <v>107</v>
      </c>
      <c r="E109" s="70"/>
      <c r="F109" s="1"/>
      <c r="M109" s="29"/>
    </row>
    <row r="110" spans="1:13" ht="16.5" customHeight="1" x14ac:dyDescent="0.25">
      <c r="A110" s="26"/>
      <c r="B110" s="91"/>
      <c r="E110" s="70"/>
      <c r="F110" s="1"/>
    </row>
    <row r="111" spans="1:13" ht="16.5" customHeight="1" x14ac:dyDescent="0.25">
      <c r="A111" s="26"/>
      <c r="B111" s="54">
        <f>+C109/C$15*100</f>
        <v>0</v>
      </c>
      <c r="E111" s="70">
        <f>+IF(B111&gt;L111,L112,IF(B111&gt;K111,K112,IF(B111&gt;J111,J112,IF(B111&gt;I111,I112,0))))</f>
        <v>0</v>
      </c>
      <c r="F111" s="42" t="str">
        <f>+"&gt;"&amp;I111&amp;"-"&amp;J111&amp;H111&amp;" = "&amp;I112&amp;" Pts; &gt;"&amp;J111&amp;"-"&amp;K111&amp;H111&amp;" = "&amp;J112&amp;" Pts"</f>
        <v>&gt;20-40% = 1.5 Pts; &gt;40-60% = 2 Pts</v>
      </c>
      <c r="H111" s="7" t="s">
        <v>147</v>
      </c>
      <c r="I111" s="7">
        <v>20</v>
      </c>
      <c r="J111" s="7">
        <v>40</v>
      </c>
      <c r="K111" s="7">
        <v>60</v>
      </c>
      <c r="L111" s="7">
        <v>80</v>
      </c>
      <c r="M111" s="29"/>
    </row>
    <row r="112" spans="1:13" ht="16.5" customHeight="1" x14ac:dyDescent="0.3">
      <c r="A112" s="26"/>
      <c r="B112" s="46"/>
      <c r="E112" s="69"/>
      <c r="F112" s="42" t="str">
        <f>+"&gt;"&amp;K111&amp;"-"&amp;L111&amp;H111&amp;" = "&amp;K112&amp;" Pts; &gt;"&amp;L111&amp;H111&amp;" = "&amp;L112&amp;" Pts"</f>
        <v>&gt;60-80% = 2.5 Pts; &gt;80% = 3 Pts</v>
      </c>
      <c r="H112" s="7" t="s">
        <v>155</v>
      </c>
      <c r="I112" s="22">
        <v>1.5</v>
      </c>
      <c r="J112" s="22">
        <v>2</v>
      </c>
      <c r="K112" s="22">
        <v>2.5</v>
      </c>
      <c r="L112" s="22">
        <v>3</v>
      </c>
      <c r="M112" s="29"/>
    </row>
    <row r="113" spans="1:13" ht="16.5" customHeight="1" x14ac:dyDescent="0.25">
      <c r="A113" s="26"/>
      <c r="B113" s="46" t="s">
        <v>181</v>
      </c>
      <c r="E113" s="69">
        <f>+MAX(E106,E111)</f>
        <v>0</v>
      </c>
      <c r="M113" s="29"/>
    </row>
    <row r="114" spans="1:13" ht="4.5" customHeight="1" x14ac:dyDescent="0.25">
      <c r="A114" s="26"/>
      <c r="B114" s="46"/>
      <c r="E114" s="69"/>
      <c r="J114" s="8"/>
      <c r="M114" s="29"/>
    </row>
    <row r="115" spans="1:13" ht="16.5" customHeight="1" x14ac:dyDescent="0.25">
      <c r="A115" s="26" t="s">
        <v>182</v>
      </c>
      <c r="B115" s="46" t="s">
        <v>183</v>
      </c>
      <c r="C115" s="44">
        <v>0</v>
      </c>
      <c r="D115" s="1" t="s">
        <v>107</v>
      </c>
      <c r="E115" s="69"/>
    </row>
    <row r="116" spans="1:13" ht="16.5" customHeight="1" x14ac:dyDescent="0.25">
      <c r="A116" s="26"/>
      <c r="B116" s="54">
        <f>+C115/C$15*100</f>
        <v>0</v>
      </c>
      <c r="E116" s="69">
        <f>+IF(B116&gt;K116,K117,IF(B116&gt;J116,J117,IF(B116&gt;I116,I117,0)))</f>
        <v>0</v>
      </c>
      <c r="F116" s="42" t="str">
        <f>+"&gt;"&amp;I116&amp;"-"&amp;J116&amp;H116&amp;" = "&amp;I117&amp;" Pt; &gt;"&amp;J116&amp;"-"&amp;K116&amp;H116&amp;" = "&amp;J117&amp;" Pts"</f>
        <v>&gt;2-5% = 1 Pt; &gt;5-10% = 2 Pts</v>
      </c>
      <c r="G116" s="42" t="str">
        <f>"&gt;"&amp;I116 &amp; H116</f>
        <v>&gt;2%</v>
      </c>
      <c r="H116" s="7" t="s">
        <v>147</v>
      </c>
      <c r="I116" s="8">
        <v>2</v>
      </c>
      <c r="J116" s="7">
        <v>5</v>
      </c>
      <c r="K116" s="7">
        <v>10</v>
      </c>
    </row>
    <row r="117" spans="1:13" ht="16.5" customHeight="1" x14ac:dyDescent="0.3">
      <c r="F117" s="42" t="str">
        <f>+"&gt;"&amp;K116&amp;H116&amp;" = "&amp;K117&amp;" Pts"</f>
        <v>&gt;10% = 3 Pts</v>
      </c>
      <c r="H117" s="7" t="s">
        <v>155</v>
      </c>
      <c r="I117" s="60">
        <v>1</v>
      </c>
      <c r="J117" s="22">
        <v>2</v>
      </c>
      <c r="K117" s="22">
        <v>3</v>
      </c>
      <c r="M117" s="29">
        <f>+I117</f>
        <v>1</v>
      </c>
    </row>
    <row r="118" spans="1:13" ht="16.350000000000001" customHeight="1" x14ac:dyDescent="0.25">
      <c r="E118" s="69"/>
      <c r="M118" s="29"/>
    </row>
    <row r="119" spans="1:13" ht="18" x14ac:dyDescent="0.25">
      <c r="A119" s="3" t="s">
        <v>184</v>
      </c>
      <c r="M119" s="29"/>
    </row>
    <row r="120" spans="1:13" ht="4.5" customHeight="1" x14ac:dyDescent="0.25">
      <c r="A120" s="3"/>
      <c r="M120" s="29"/>
    </row>
    <row r="121" spans="1:13" ht="16.5" customHeight="1" x14ac:dyDescent="0.25">
      <c r="A121" s="26" t="s">
        <v>185</v>
      </c>
      <c r="B121" s="4" t="s">
        <v>186</v>
      </c>
      <c r="C121" s="38" t="s">
        <v>113</v>
      </c>
      <c r="E121" s="69">
        <f>+IF(C121="oui",I121,0)</f>
        <v>0</v>
      </c>
      <c r="F121" s="1" t="s">
        <v>187</v>
      </c>
      <c r="H121" s="7" t="s">
        <v>155</v>
      </c>
      <c r="I121" s="33">
        <v>0.5</v>
      </c>
      <c r="M121" s="29"/>
    </row>
    <row r="122" spans="1:13" ht="16.5" customHeight="1" x14ac:dyDescent="0.25">
      <c r="A122" s="26"/>
      <c r="B122" s="46"/>
      <c r="E122" s="69"/>
    </row>
    <row r="123" spans="1:13" ht="4.5" customHeight="1" x14ac:dyDescent="0.25">
      <c r="A123" s="26"/>
      <c r="B123" s="49"/>
    </row>
    <row r="124" spans="1:13" ht="16.5" customHeight="1" x14ac:dyDescent="0.25">
      <c r="A124" s="26" t="s">
        <v>188</v>
      </c>
      <c r="B124" s="50" t="s">
        <v>189</v>
      </c>
      <c r="C124" s="38">
        <v>0</v>
      </c>
      <c r="D124" s="1" t="s">
        <v>190</v>
      </c>
      <c r="F124" s="42" t="s">
        <v>191</v>
      </c>
    </row>
    <row r="125" spans="1:13" ht="16.5" customHeight="1" x14ac:dyDescent="0.25">
      <c r="A125" s="26"/>
      <c r="B125" s="50" t="s">
        <v>192</v>
      </c>
    </row>
    <row r="127" spans="1:13" s="14" customFormat="1" ht="20.25" x14ac:dyDescent="0.25">
      <c r="A127" s="12" t="s">
        <v>193</v>
      </c>
      <c r="B127" s="13"/>
      <c r="C127" s="12"/>
      <c r="D127" s="12"/>
      <c r="E127" s="71" t="str">
        <f>IF(I52=1,H127, "Toutes les exigences de base ne sont pas remplies; "&amp;H127&amp;" points")</f>
        <v>Toutes les exigences de base ne sont pas remplies; 0 points</v>
      </c>
      <c r="F127" s="13"/>
      <c r="G127" s="12"/>
      <c r="H127" s="7">
        <f>SUM(E55:E101,E113:E125,C124)</f>
        <v>0</v>
      </c>
      <c r="I127" s="8"/>
      <c r="J127" s="8"/>
      <c r="K127" s="8"/>
      <c r="L127" s="8"/>
      <c r="M127" s="34">
        <f>SUM(M54:M126)</f>
        <v>16.5</v>
      </c>
    </row>
  </sheetData>
  <sheetProtection selectLockedCells="1"/>
  <mergeCells count="13">
    <mergeCell ref="I54:L54"/>
    <mergeCell ref="B109:B110"/>
    <mergeCell ref="B104:B105"/>
    <mergeCell ref="B52:F52"/>
    <mergeCell ref="B23:B24"/>
    <mergeCell ref="B49:B50"/>
    <mergeCell ref="B32:B33"/>
    <mergeCell ref="B35:B36"/>
    <mergeCell ref="B38:B39"/>
    <mergeCell ref="B26:B27"/>
    <mergeCell ref="B29:B30"/>
    <mergeCell ref="B85:B86"/>
    <mergeCell ref="B56:B57"/>
  </mergeCells>
  <conditionalFormatting sqref="M52 B52:G52">
    <cfRule type="expression" dxfId="1" priority="1">
      <formula>$I$52=1</formula>
    </cfRule>
    <cfRule type="expression" dxfId="0" priority="2">
      <formula>"G24=1"</formula>
    </cfRule>
    <cfRule type="iconSet" priority="3">
      <iconSet iconSet="3Arrows">
        <cfvo type="percent" val="0"/>
        <cfvo type="percent" val="33"/>
        <cfvo type="percent" val="67"/>
      </iconSet>
    </cfRule>
  </conditionalFormatting>
  <dataValidations count="4">
    <dataValidation type="list" allowBlank="1" showInputMessage="1" showErrorMessage="1" errorTitle="Falsche Eingabe" error="bitte ja oder nein angeben_x000a_" sqref="C23 C41 C26 C32 C29 C21 C35 C38 C45 C47 C49 C121">
      <formula1>"oui, non"</formula1>
    </dataValidation>
    <dataValidation type="whole" allowBlank="1" showInputMessage="1" showErrorMessage="1" errorTitle="ungültiger Wert" error="Bitte geben Sie eine Zahl ein" sqref="C90 C81 C77">
      <formula1>0</formula1>
      <formula2>999999</formula2>
    </dataValidation>
    <dataValidation type="decimal" allowBlank="1" showInputMessage="1" showErrorMessage="1" errorTitle="ungültiger Wert" error="Geben Sie eine Zahl ein, die höchstens so gross ist wie die Rebfläche" promptTitle="Anzahl ha" sqref="C69 C104 C115 C100 C94 C73 C109 C65 C56 C85 C61">
      <formula1>0</formula1>
      <formula2>C$15</formula2>
    </dataValidation>
    <dataValidation type="decimal" allowBlank="1" showInputMessage="1" showErrorMessage="1" errorTitle="Valore non valido" error="Il valore massimo è 3_x000a_" promptTitle="Valore da perizia" sqref="C124">
      <formula1>0</formula1>
      <formula2>3</formula2>
    </dataValidation>
  </dataValidations>
  <pageMargins left="0.25" right="0.25" top="0.75" bottom="0.75" header="0.3" footer="0.3"/>
  <pageSetup paperSize="9" scale="96" fitToHeight="0" orientation="portrait" r:id="rId1"/>
  <rowBreaks count="2" manualBreakCount="2">
    <brk id="52" max="16383" man="1"/>
    <brk id="9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B1F190022C1C84A831B3A1F3D0D4B23" ma:contentTypeVersion="13" ma:contentTypeDescription="Ein neues Dokument erstellen." ma:contentTypeScope="" ma:versionID="ba01e518aefa24db2f7cc37276529126">
  <xsd:schema xmlns:xsd="http://www.w3.org/2001/XMLSchema" xmlns:xs="http://www.w3.org/2001/XMLSchema" xmlns:p="http://schemas.microsoft.com/office/2006/metadata/properties" xmlns:ns2="64de2e10-ee86-4bfc-912b-c9858ce9334b" xmlns:ns3="ff08531f-ab27-4e6c-bfcc-422da4b8b471" targetNamespace="http://schemas.microsoft.com/office/2006/metadata/properties" ma:root="true" ma:fieldsID="6f276e2799c4ac13548b517b30e8c67f" ns2:_="" ns3:_="">
    <xsd:import namespace="64de2e10-ee86-4bfc-912b-c9858ce9334b"/>
    <xsd:import namespace="ff08531f-ab27-4e6c-bfcc-422da4b8b4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e2e10-ee86-4bfc-912b-c9858ce93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08531f-ab27-4e6c-bfcc-422da4b8b47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3D0794-19E8-423D-B954-E47E76F6412E}"/>
</file>

<file path=customXml/itemProps2.xml><?xml version="1.0" encoding="utf-8"?>
<ds:datastoreItem xmlns:ds="http://schemas.openxmlformats.org/officeDocument/2006/customXml" ds:itemID="{B9D75FB9-3E10-49AE-AC15-2A2F4D8257D6}"/>
</file>

<file path=customXml/itemProps3.xml><?xml version="1.0" encoding="utf-8"?>
<ds:datastoreItem xmlns:ds="http://schemas.openxmlformats.org/officeDocument/2006/customXml" ds:itemID="{81E0DF3A-94C2-4AE7-91C4-1AF01710DC5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14</vt:i4>
      </vt:variant>
    </vt:vector>
  </HeadingPairs>
  <TitlesOfParts>
    <vt:vector size="16" baseType="lpstr">
      <vt:lpstr>Punktesystem</vt:lpstr>
      <vt:lpstr>Systeme de points</vt:lpstr>
      <vt:lpstr>andereQI</vt:lpstr>
      <vt:lpstr>andereQII</vt:lpstr>
      <vt:lpstr>autresQI</vt:lpstr>
      <vt:lpstr>autresQII</vt:lpstr>
      <vt:lpstr>biodivQII</vt:lpstr>
      <vt:lpstr>Punktesystem!Druckbereich</vt:lpstr>
      <vt:lpstr>'Systeme de points'!Druckbereich</vt:lpstr>
      <vt:lpstr>haiesQI</vt:lpstr>
      <vt:lpstr>haiesQII</vt:lpstr>
      <vt:lpstr>HeckenQI</vt:lpstr>
      <vt:lpstr>HeckenQII</vt:lpstr>
      <vt:lpstr>RebenQII</vt:lpstr>
      <vt:lpstr>Rebfläche</vt:lpstr>
      <vt:lpstr>'Systeme de points'!vitic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2021-06-25T11:24:35Z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0x0101004B1F190022C1C84A831B3A1F3D0D4B23</vt:lpwstr>
  </property>
</Properties>
</file>